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000" yWindow="280" windowWidth="18860" windowHeight="11300" tabRatio="797" activeTab="0"/>
  </bookViews>
  <sheets>
    <sheet name="CAPA" sheetId="1" r:id="rId1"/>
    <sheet name="Regras de Utilização" sheetId="2" r:id="rId2"/>
    <sheet name="Pressupostos" sheetId="3" r:id="rId3"/>
    <sheet name="VN" sheetId="4" r:id="rId4"/>
    <sheet name="CMVMC" sheetId="5" r:id="rId5"/>
    <sheet name="FSE" sheetId="6" r:id="rId6"/>
    <sheet name="Gastos com Pessoal" sheetId="7" r:id="rId7"/>
    <sheet name="FundoManeio" sheetId="8" r:id="rId8"/>
    <sheet name="Investimento" sheetId="9" r:id="rId9"/>
    <sheet name="Financiamento" sheetId="10" r:id="rId10"/>
    <sheet name="Ponto Crítico" sheetId="11" r:id="rId11"/>
    <sheet name="DR" sheetId="12" r:id="rId12"/>
    <sheet name="Cash Flow" sheetId="13" r:id="rId13"/>
    <sheet name="PlanoFinanceiro" sheetId="14" r:id="rId14"/>
    <sheet name="Balanço" sheetId="15" r:id="rId15"/>
    <sheet name="Indicadores" sheetId="16" r:id="rId16"/>
    <sheet name="Avaliação" sheetId="17" r:id="rId17"/>
    <sheet name="Calculos Auxiliares" sheetId="18" r:id="rId18"/>
    <sheet name="Sheet1" sheetId="19" r:id="rId19"/>
  </sheets>
  <externalReferences>
    <externalReference r:id="rId22"/>
    <externalReference r:id="rId23"/>
    <externalReference r:id="rId24"/>
  </externalReferences>
  <definedNames>
    <definedName name="anscount" hidden="1">1</definedName>
    <definedName name="Bu">'[1]INPUT'!$B$10</definedName>
    <definedName name="DC">'[1]INPUT'!$B$8</definedName>
    <definedName name="EXHIBIT_01">#REF!</definedName>
    <definedName name="EXHIBIT_02" localSheetId="17">#REF!</definedName>
    <definedName name="EXHIBIT_02" localSheetId="10">#REF!</definedName>
    <definedName name="EXHIBIT_02">#REF!</definedName>
    <definedName name="EXHIBIT_05" localSheetId="17">#REF!</definedName>
    <definedName name="EXHIBIT_05" localSheetId="10">#REF!</definedName>
    <definedName name="EXHIBIT_05">#REF!</definedName>
    <definedName name="EXHIBIT_06" localSheetId="17">#REF!</definedName>
    <definedName name="EXHIBIT_06" localSheetId="10">#REF!</definedName>
    <definedName name="EXHIBIT_06">#REF!</definedName>
    <definedName name="EXHIBIT_07" localSheetId="17">#REF!</definedName>
    <definedName name="EXHIBIT_07" localSheetId="10">#REF!</definedName>
    <definedName name="EXHIBIT_07">#REF!</definedName>
    <definedName name="EXHIBIT_08" localSheetId="17">#REF!</definedName>
    <definedName name="EXHIBIT_08" localSheetId="10">#REF!</definedName>
    <definedName name="EXHIBIT_08">#REF!</definedName>
    <definedName name="new_proj">'[2]Novos Projectos'!$A$3:$A$57</definedName>
    <definedName name="Pm">'[1]INPUT'!$B$6</definedName>
    <definedName name="_xlnm.Print_Area" localSheetId="16">'Avaliação'!$A$1:$I$67</definedName>
    <definedName name="_xlnm.Print_Area" localSheetId="14">'Balanço'!$A$1:$H$51</definedName>
    <definedName name="_xlnm.Print_Area" localSheetId="17">'Calculos Auxiliares'!$A$1:$H$91</definedName>
    <definedName name="_xlnm.Print_Area" localSheetId="12">'Cash Flow'!$A$1:$H$23</definedName>
    <definedName name="_xlnm.Print_Area" localSheetId="4">'CMVMC'!$A$1:$H$29</definedName>
    <definedName name="_xlnm.Print_Area" localSheetId="11">'DR'!$A$1:$G$32</definedName>
    <definedName name="_xlnm.Print_Area" localSheetId="9">'Financiamento'!$A$1:$H$104</definedName>
    <definedName name="_xlnm.Print_Area" localSheetId="5">'FSE'!$A$1:$K$53</definedName>
    <definedName name="_xlnm.Print_Area" localSheetId="7">'FundoManeio'!$A$1:$H$27</definedName>
    <definedName name="_xlnm.Print_Area" localSheetId="6">'Gastos com Pessoal'!$A$1:$I$102</definedName>
    <definedName name="_xlnm.Print_Area" localSheetId="15">'Indicadores'!$A$1:$G$28</definedName>
    <definedName name="_xlnm.Print_Area" localSheetId="8">'Investimento'!$A$1:$H$168</definedName>
    <definedName name="_xlnm.Print_Area" localSheetId="13">'PlanoFinanceiro'!$A$1:$H$35</definedName>
    <definedName name="_xlnm.Print_Area" localSheetId="10">'Ponto Crítico'!$A$1:$G$13</definedName>
    <definedName name="_xlnm.Print_Area" localSheetId="2">'Pressupostos'!$A$1:$E$54</definedName>
    <definedName name="_xlnm.Print_Area" localSheetId="1">'Regras de Utilização'!$B$1:$C$37</definedName>
    <definedName name="_xlnm.Print_Area" localSheetId="3">'VN'!$A$1:$H$88</definedName>
    <definedName name="_xlnm.Print_Titles" localSheetId="9">'Financiamento'!$1:$6</definedName>
    <definedName name="_xlnm.Print_Titles" localSheetId="6">'Gastos com Pessoal'!$1:$4</definedName>
    <definedName name="_xlnm.Print_Titles" localSheetId="3">'VN'!$1:$5</definedName>
    <definedName name="Rd">'[1]INPUT'!$B$4</definedName>
    <definedName name="Rf">'[1]INPUT'!$B$5</definedName>
    <definedName name="t">'[1]INPUT'!$B$7</definedName>
    <definedName name="TD">'[1]INPUT'!$B$9</definedName>
    <definedName name="VARa">'[1]INPUT'!$B$12</definedName>
  </definedNames>
  <calcPr fullCalcOnLoad="1"/>
</workbook>
</file>

<file path=xl/sharedStrings.xml><?xml version="1.0" encoding="utf-8"?>
<sst xmlns="http://schemas.openxmlformats.org/spreadsheetml/2006/main" count="693" uniqueCount="464">
  <si>
    <t>Taxa Interna de Rentibilidade</t>
  </si>
  <si>
    <t>Pay Back period</t>
  </si>
  <si>
    <t>CF</t>
  </si>
  <si>
    <t>CF Acum</t>
  </si>
  <si>
    <t>Quantidades vendidas</t>
  </si>
  <si>
    <t xml:space="preserve">Preço Unitário </t>
  </si>
  <si>
    <t>Na perspectiva do Investidor</t>
  </si>
  <si>
    <t>Anos</t>
  </si>
  <si>
    <t>Pressupostos Gerais</t>
  </si>
  <si>
    <t>Custo</t>
  </si>
  <si>
    <t>Taxa de Juro</t>
  </si>
  <si>
    <t>Juro Anual</t>
  </si>
  <si>
    <t>Reembolso Anual</t>
  </si>
  <si>
    <t>Financiamento</t>
  </si>
  <si>
    <t>Solvabilidade Total</t>
  </si>
  <si>
    <t>Liquidez Reduzida</t>
  </si>
  <si>
    <t>Fornecedores</t>
  </si>
  <si>
    <t>Autonomia Financeira</t>
  </si>
  <si>
    <t>EMPRESA:</t>
  </si>
  <si>
    <t xml:space="preserve">TOTAL FSE  </t>
  </si>
  <si>
    <t>CMVMC</t>
  </si>
  <si>
    <t>Seguros Acidentes de Trabalho</t>
  </si>
  <si>
    <t>Ano 0</t>
  </si>
  <si>
    <t>Ano 1</t>
  </si>
  <si>
    <t>Ano 2</t>
  </si>
  <si>
    <t>Ano 3</t>
  </si>
  <si>
    <t>Ano 4</t>
  </si>
  <si>
    <t>Ano 5</t>
  </si>
  <si>
    <t>Subcontratos</t>
  </si>
  <si>
    <t>Royalties</t>
  </si>
  <si>
    <t>Comissões</t>
  </si>
  <si>
    <t>Pessoal</t>
  </si>
  <si>
    <t>Nº Meses</t>
  </si>
  <si>
    <t>Electricidade</t>
  </si>
  <si>
    <t>Artigos para oferta</t>
  </si>
  <si>
    <t>Rendas e alugueres</t>
  </si>
  <si>
    <t>Despesas de representação</t>
  </si>
  <si>
    <t>Comunicação</t>
  </si>
  <si>
    <t>Seguros</t>
  </si>
  <si>
    <t>Transportes de mercadorias</t>
  </si>
  <si>
    <t>Contencioso e notariado</t>
  </si>
  <si>
    <t>Conservação e reparação</t>
  </si>
  <si>
    <t>Publicidade e propaganda</t>
  </si>
  <si>
    <t>Limpeza, higiene e conforto</t>
  </si>
  <si>
    <t>Honorários</t>
  </si>
  <si>
    <t xml:space="preserve">Formação </t>
  </si>
  <si>
    <t>TOTAL</t>
  </si>
  <si>
    <t>Proveitos Financeiros</t>
  </si>
  <si>
    <t>ACTIVO</t>
  </si>
  <si>
    <t>Clientes</t>
  </si>
  <si>
    <t>Estado</t>
  </si>
  <si>
    <t>TOTAL ACTIVO</t>
  </si>
  <si>
    <t>PASSIVO</t>
  </si>
  <si>
    <t>TOTAL PASSIVO</t>
  </si>
  <si>
    <t>Unidade monetária</t>
  </si>
  <si>
    <t>Investimento</t>
  </si>
  <si>
    <t>Demonstração de Resultados Previsional</t>
  </si>
  <si>
    <t>Balanço Previsional</t>
  </si>
  <si>
    <t>Mapa de Cash Flows Operacionais</t>
  </si>
  <si>
    <t>Principais Indicadores</t>
  </si>
  <si>
    <t>FSE + IVA</t>
  </si>
  <si>
    <t>Valor em divida</t>
  </si>
  <si>
    <t>IVA</t>
  </si>
  <si>
    <t>Empresa:</t>
  </si>
  <si>
    <t>TOTAL VENDAS</t>
  </si>
  <si>
    <t>TOTAL VOLUME DE NEGÓCIOS</t>
  </si>
  <si>
    <t>Margem Bruta</t>
  </si>
  <si>
    <t>TOTAL CMVMC</t>
  </si>
  <si>
    <t>TOTAL CMVMC + IVA</t>
  </si>
  <si>
    <t>TOTAL VOLUME DE NEGÓCIOS + IVA</t>
  </si>
  <si>
    <t>FSE - Fornecimentos e Serviços Externos</t>
  </si>
  <si>
    <t>CMVMC - Custo das Mercadorias Vendidas e Matérias Consumidas</t>
  </si>
  <si>
    <t>Taxa de crescimento</t>
  </si>
  <si>
    <t>Valor Mensal</t>
  </si>
  <si>
    <t>Serviço A</t>
  </si>
  <si>
    <t>Serviço B</t>
  </si>
  <si>
    <t>Serviço C</t>
  </si>
  <si>
    <t>Serviço D</t>
  </si>
  <si>
    <t>Taxa de crescimento das unidades vendidas</t>
  </si>
  <si>
    <t>Segurança Social</t>
  </si>
  <si>
    <t>QUADRO RESUMO</t>
  </si>
  <si>
    <t>Outros custos com pessoal</t>
  </si>
  <si>
    <t>Necessidades Fundo Maneio</t>
  </si>
  <si>
    <t>Recursos Fundo Maneio</t>
  </si>
  <si>
    <t>Investimento em Fundo de Maneio</t>
  </si>
  <si>
    <t>Reserva Segurança Tesouraria</t>
  </si>
  <si>
    <t xml:space="preserve">Taxa média de IRS </t>
  </si>
  <si>
    <t>Meios Libertos do Projecto</t>
  </si>
  <si>
    <t xml:space="preserve">   Fundo de Maneio</t>
  </si>
  <si>
    <t xml:space="preserve">   Capital Fixo</t>
  </si>
  <si>
    <t>Taxa de IRC</t>
  </si>
  <si>
    <t>CASH FLOW de Exploração</t>
  </si>
  <si>
    <t>Margem de segurança</t>
  </si>
  <si>
    <t>Necessidades de financiamento</t>
  </si>
  <si>
    <t xml:space="preserve">TOTAL </t>
  </si>
  <si>
    <t>Meios Libertos Brutos</t>
  </si>
  <si>
    <t>Desinvest. em Capital Fixo</t>
  </si>
  <si>
    <t>Desinvest. em FMN</t>
  </si>
  <si>
    <t>Total das Origens</t>
  </si>
  <si>
    <t>Inv. Capital Fixo</t>
  </si>
  <si>
    <t>Inv Fundo de Maneio</t>
  </si>
  <si>
    <t>Reembolso de Empréstimos</t>
  </si>
  <si>
    <t>Encargos Financeiros</t>
  </si>
  <si>
    <t>Total das Aplicações</t>
  </si>
  <si>
    <t>Saldo de Tesouraria Anual</t>
  </si>
  <si>
    <t>ORIGENS DE FUNDOS</t>
  </si>
  <si>
    <t>APLICAÇÕES DE FUNDOS</t>
  </si>
  <si>
    <t>Taxa de IVA - CMVMC</t>
  </si>
  <si>
    <t>Taxa de IVA - FSE</t>
  </si>
  <si>
    <t>Taxa de juro de activos sem risco</t>
  </si>
  <si>
    <t>Prémio de risco de mercado</t>
  </si>
  <si>
    <t>Meios Libertos</t>
  </si>
  <si>
    <t>CASH FLOW acumulado</t>
  </si>
  <si>
    <t>Saldo de Tesouraria Acumulado</t>
  </si>
  <si>
    <t>Soma Controlo</t>
  </si>
  <si>
    <t>Reembolso</t>
  </si>
  <si>
    <t>Taxa de Crescimento do Negócio</t>
  </si>
  <si>
    <t>INDICADORES ECONÓMICOS - FINANCEIROS</t>
  </si>
  <si>
    <t>INDICADORES ECONÓMICOS</t>
  </si>
  <si>
    <t>INDICADORES FINANCEIROS</t>
  </si>
  <si>
    <t>INDICADORES DE LIQUIDEZ</t>
  </si>
  <si>
    <t>Return On Investment (ROI)</t>
  </si>
  <si>
    <t>Rendibilidade do Activo</t>
  </si>
  <si>
    <t>Rotação do Activo</t>
  </si>
  <si>
    <t>Rendibilidade dos Capitais Próprios (ROE)</t>
  </si>
  <si>
    <t>INDICADORES DE RISCO NEGÓCIO</t>
  </si>
  <si>
    <t>Free cash-flow</t>
  </si>
  <si>
    <t>Factor actualização</t>
  </si>
  <si>
    <t>Fluxos Actualizados</t>
  </si>
  <si>
    <t>Free Cash Flow do Equity</t>
  </si>
  <si>
    <t>Free Cash Flow to Firm</t>
  </si>
  <si>
    <t>WACC</t>
  </si>
  <si>
    <t>Fluxos actualizados</t>
  </si>
  <si>
    <t>Factor de actualização</t>
  </si>
  <si>
    <t>Custo ponderado</t>
  </si>
  <si>
    <t>Passos para preenchimento:</t>
  </si>
  <si>
    <r>
      <t>Ü</t>
    </r>
    <r>
      <rPr>
        <sz val="10"/>
        <rFont val="Arial Narrow"/>
        <family val="2"/>
      </rPr>
      <t xml:space="preserve"> Só devem ser inseridos valores nas células com fundo branco;</t>
    </r>
  </si>
  <si>
    <t>Principais regras de utilização:</t>
  </si>
  <si>
    <t>Colocar na sheet CMVMC na célula correspondente, as margens brutas de negócio para cada um dos produtos vendidos;</t>
  </si>
  <si>
    <t>Na sheet FSE, estimar um valor médio mensal para cada umas das rubricas que se adaptem à empresa / negócio;</t>
  </si>
  <si>
    <t>Posteriormente, definir o quadro de investimento da empresa / projecto na sheet de Investimentos, repartida pelas diferentes rubricas de investimento em activo fixo;</t>
  </si>
  <si>
    <t>Ano 6</t>
  </si>
  <si>
    <t>Tx IVA</t>
  </si>
  <si>
    <t>Taxa de juro de empréstimo Curto Prazo</t>
  </si>
  <si>
    <t>* Produtos / Familias de Produtos / Mercadorias</t>
  </si>
  <si>
    <t>Produto A *</t>
  </si>
  <si>
    <t>Produto B *</t>
  </si>
  <si>
    <t>Produto C *</t>
  </si>
  <si>
    <t>Produto D *</t>
  </si>
  <si>
    <t>Taxa de variação dos preços</t>
  </si>
  <si>
    <t>IVA VENDAS</t>
  </si>
  <si>
    <t>NOTA: Caso não tenha conhecimento das quantidades, colocar o valor das vendas na linha das "Quantidades Vendidas" e o valor 1 na linha do "Preço Unitário".</t>
  </si>
  <si>
    <t>NOTA: Mapa construído caso a caso:</t>
  </si>
  <si>
    <t>b) Efectuar os cálculos auxiliares considerados necessários para alcançar a o nível de matéria-prima por unidade produzida e introduzir manualmente os valores;</t>
  </si>
  <si>
    <t>Outro Pessoal</t>
  </si>
  <si>
    <t>Retenção SS Colaborador</t>
  </si>
  <si>
    <t>Retenção IRS Colaborador</t>
  </si>
  <si>
    <t>Retenções Colaboradores</t>
  </si>
  <si>
    <t>TOTAL Retenções</t>
  </si>
  <si>
    <t>*</t>
  </si>
  <si>
    <t>Resultados Operacionais (EBIT) x (1-IRC)</t>
  </si>
  <si>
    <t>Investim./Desinvest. em Fundo Maneio</t>
  </si>
  <si>
    <t>Investim./Desinvest. em Capital Fixo</t>
  </si>
  <si>
    <t>Fontes de Financiamento</t>
  </si>
  <si>
    <t>Plano de Financiamento</t>
  </si>
  <si>
    <t xml:space="preserve">Imposto sobre os Lucros </t>
  </si>
  <si>
    <t xml:space="preserve">Pagamento de Dividendos </t>
  </si>
  <si>
    <t>Capital Social (entrada de fundos)</t>
  </si>
  <si>
    <t>Empréstimos Obtidos</t>
  </si>
  <si>
    <t>Imposto Selo (0,4%)</t>
  </si>
  <si>
    <r>
      <t>Ü</t>
    </r>
    <r>
      <rPr>
        <sz val="10"/>
        <rFont val="Arial Narrow"/>
        <family val="2"/>
      </rPr>
      <t xml:space="preserve"> No caso de pretender efectuar uma análise de sensibilidade, utilize este mesmo modelo, mas com diferentes valores.</t>
    </r>
  </si>
  <si>
    <t>Avaliação do Projecto / Empresa</t>
  </si>
  <si>
    <r>
      <t>Ü</t>
    </r>
    <r>
      <rPr>
        <sz val="10"/>
        <rFont val="Arial Narrow"/>
        <family val="2"/>
      </rPr>
      <t xml:space="preserve"> A utilização deste modelo tem por base um trabalho prévio por parte do utilizador no que diz respeito à previsão de proveitos e de custos;</t>
    </r>
  </si>
  <si>
    <t>Investimento em Fundo Maneio Necessário</t>
  </si>
  <si>
    <t>Prazo médio de Recebimento (dias) / (meses)</t>
  </si>
  <si>
    <t>Prazo médio de Pagamento (dias) / (meses)</t>
  </si>
  <si>
    <t>Prazo médio de Stockagem (dias) / (meses)</t>
  </si>
  <si>
    <t>s</t>
  </si>
  <si>
    <t xml:space="preserve">Taxa de IVA - Vendas </t>
  </si>
  <si>
    <t>Taxa de IVA - Prestação Serviços</t>
  </si>
  <si>
    <t>VENDAS - MERCADO NACIONAL</t>
  </si>
  <si>
    <t>VENDAS - EXPORTAÇÃO</t>
  </si>
  <si>
    <t>TOTAL VENDAS - MERCADO NACIONAL</t>
  </si>
  <si>
    <t>TOTAL VENDAS - EXPORTAÇÕES</t>
  </si>
  <si>
    <t>TOTAL PRESTAÇÕES SERVIÇOS</t>
  </si>
  <si>
    <t>Incremento Anual (Vencimentos + Sub. Almoço)</t>
  </si>
  <si>
    <r>
      <t>Ü</t>
    </r>
    <r>
      <rPr>
        <sz val="10"/>
        <rFont val="Arial Narrow"/>
        <family val="2"/>
      </rPr>
      <t xml:space="preserve"> Os valores que se encontrem a azul, poderão ser alterados, mas dentro dos mesmos parâmetros;</t>
    </r>
  </si>
  <si>
    <t>Regras de utilização</t>
  </si>
  <si>
    <t>Na sheet de Fundo Maneio, definir a Reserva de Segurança de Tesouraria. Esta rubrica representa um valor mínimo de disponibilidades a manter ao longo do projecto;</t>
  </si>
  <si>
    <t>Taxa de crescimento dos cash flows na perpetuidade</t>
  </si>
  <si>
    <t>c) Caso não seja possível alcançar o nível do consumo de matéria-prima por produto, introduzir o valor do custo total, após a realização dos respectivos cálculos auxiliares.</t>
  </si>
  <si>
    <t>NOTA 2: Está disponível uma folha para cálculos auxiliares. Contém mapas para cálculo do CMVMC de projectos industriais.</t>
  </si>
  <si>
    <t>Material de escritório</t>
  </si>
  <si>
    <t>Vigilância e segurança</t>
  </si>
  <si>
    <t>Trabalhos especializados</t>
  </si>
  <si>
    <t>Gerência / Administração</t>
  </si>
  <si>
    <t>Fundo Maneio Necessário</t>
  </si>
  <si>
    <t>* A considerar caso seja necessário</t>
  </si>
  <si>
    <t>Financiamento bancário e outras Inst. Crédito</t>
  </si>
  <si>
    <t>Capital em dívida (início período)</t>
  </si>
  <si>
    <t>Valor em dívida</t>
  </si>
  <si>
    <t>Serviço da dívida</t>
  </si>
  <si>
    <t>Capital em dívida</t>
  </si>
  <si>
    <t>Juros pagos com Imposto Selo incluído</t>
  </si>
  <si>
    <t>Provisões do exercício</t>
  </si>
  <si>
    <t>Aplicações / Empréstimo Curto Prazo</t>
  </si>
  <si>
    <t>Estado e Outros Entes Públicos</t>
  </si>
  <si>
    <t>CAPITAL PRÓPRIO</t>
  </si>
  <si>
    <t>TOTAL PASSIVO + CAPITAIS PRÓPRIOS</t>
  </si>
  <si>
    <t>Grau de Alavanca Operacional</t>
  </si>
  <si>
    <t>Valor Actual Líquido (VAL)</t>
  </si>
  <si>
    <t>Capital Próprio</t>
  </si>
  <si>
    <t>Euros</t>
  </si>
  <si>
    <t>Colocar o nome da empresa na célula E1 na sheet de "Pressupostos";</t>
  </si>
  <si>
    <t>Valide os pressupostos aqui indicados e ajuste-os de acordo com o seu projecto</t>
  </si>
  <si>
    <t>MERCADO NACIONAL</t>
  </si>
  <si>
    <t>MERCADO EXTERNO</t>
  </si>
  <si>
    <t>a) Introduzir a Margem Bruta directamente, quando conhecida e passível de ser utilizada, ou efectuar a respectiva fórmula de cálculo;</t>
  </si>
  <si>
    <t>Administração / Direcção</t>
  </si>
  <si>
    <t>Administrativa Financeira</t>
  </si>
  <si>
    <t>Comercial / Marketing</t>
  </si>
  <si>
    <t>Produção / Operacional</t>
  </si>
  <si>
    <t>Qualidade</t>
  </si>
  <si>
    <t>Manutenção</t>
  </si>
  <si>
    <t>Aprovisionamento</t>
  </si>
  <si>
    <t>Investigação &amp; Desenvolvimento</t>
  </si>
  <si>
    <t>Outros</t>
  </si>
  <si>
    <t>Remuneração base mensal</t>
  </si>
  <si>
    <t>Remuneração base anual - TOTAL Colaboradores</t>
  </si>
  <si>
    <t>Investimento por ano</t>
  </si>
  <si>
    <t xml:space="preserve">   Edificios e Outras Construções</t>
  </si>
  <si>
    <t xml:space="preserve">   Equipamento  Básico</t>
  </si>
  <si>
    <t xml:space="preserve">   Equipamento de Transporte</t>
  </si>
  <si>
    <t xml:space="preserve">   Equipamento Administrativo</t>
  </si>
  <si>
    <t>Total Investimento</t>
  </si>
  <si>
    <t>Taxa de Aplicações Financeiras Curto Prazo</t>
  </si>
  <si>
    <t>Métodos de avaliação considerados:</t>
  </si>
  <si>
    <t>Para a melhor utilização do presente modelo o empreendedor deverá dominar conceitos básicos de análise económica e financeira ou, não sendo esse o caso, deve explorar as potencialidades do presente modelo acompanhado por alguém conhecedor desses conceitos. Por outro lado, este modelo Económico Financeiro deve ser acompanhado de informação qualitativa detalhada sobre o projecto e de explicação dos pressupostos de cálculos efectuados.</t>
  </si>
  <si>
    <t xml:space="preserve">Taxa de crescimento </t>
  </si>
  <si>
    <t>Os inputs do modelo estão inseridos, sendo necessário apenas fazer o acerto de disponibilidades. Assim sendo, na sheet de Plano Financeiro carregar no rectângulo que indica "Acerto do modelo"</t>
  </si>
  <si>
    <t>Para que o possa tirar partido de todas as funcionalidades do modelo, deverá confirmar se o nível de segurança das Macros esta em Médio. Para isso basta ir às Ferramentas - Macro - Segurança e no Nível de Segurança escolher / confirmar se está no Médio. Caso não esteja coloque a opção já indicada e feche o ficheiro. Quando reabrir , seleccione Aceitar Macro.</t>
  </si>
  <si>
    <t>Estimar o volume de negócios da empresa, através das quantidades vendidas, preço de venda dos produtos e de prestação de serviços. Caso pretenda utilize folha de cálculo anexa e faça apenas as respectivas ligações de acordo com a classificação contabilística do seu volume de negócios;</t>
  </si>
  <si>
    <t>Após a definição de todos estes pressupostos tem que definir a forma de financiamento do projecto na sheet Financiamento. Deverá indicar o valor de capital social inicial e eventuais aumentos, bem como o nível de suprimentos da empresa e / ou o valor dos empréstimos bancários;</t>
  </si>
  <si>
    <t>Taxa de IVA - Investimento</t>
  </si>
  <si>
    <t>Cálculo do WACC</t>
  </si>
  <si>
    <t>% Capital Próprio</t>
  </si>
  <si>
    <t>Taxa de juro de empréstimo ML Prazo</t>
  </si>
  <si>
    <t>Custo Financiamento</t>
  </si>
  <si>
    <t>Passivo Remunerado</t>
  </si>
  <si>
    <t>Custo financiamento com efeito fiscal</t>
  </si>
  <si>
    <t>% Passivo remunerado</t>
  </si>
  <si>
    <t>ESTADO</t>
  </si>
  <si>
    <t>SS</t>
  </si>
  <si>
    <t>IRS</t>
  </si>
  <si>
    <t>N.º de anos reembolso</t>
  </si>
  <si>
    <t>Taxa de juro associada</t>
  </si>
  <si>
    <t>XPTO, Lda</t>
  </si>
  <si>
    <t>Propriedades de investimento</t>
  </si>
  <si>
    <t>Terrenos e recursos naturais</t>
  </si>
  <si>
    <t>Edificios e Outras construções</t>
  </si>
  <si>
    <t>Outras propriedades de investimento</t>
  </si>
  <si>
    <t>Total propriedades de investimento</t>
  </si>
  <si>
    <t>Activos fixos tangíveis</t>
  </si>
  <si>
    <t>Equipamentos biológicos</t>
  </si>
  <si>
    <t xml:space="preserve">   Outros activos fixos tangiveis</t>
  </si>
  <si>
    <t>Gastos com o Pessoal</t>
  </si>
  <si>
    <t>Vendas + Prestações de Serviços</t>
  </si>
  <si>
    <t>PRESTAÇÕES DE SERVIÇOS - MERCADO NACIONAL</t>
  </si>
  <si>
    <t>PRESTAÇÕES DE SERVIÇOS - EXPORTAÇÕES</t>
  </si>
  <si>
    <t>TOTAL PRESTAÇÕES DE SERVIÇOS - MERCADO NACIONAL</t>
  </si>
  <si>
    <t>TOTAL PRESTAÇÕES DE SERVIÇOS - EXPORTAÇÕES</t>
  </si>
  <si>
    <t>IVA PRESTAÇÕES DE SERVIÇOS</t>
  </si>
  <si>
    <t>Gastos/reversões de depreciação e amortização</t>
  </si>
  <si>
    <t>Imparidade de activos depreciáveis/amortizáveis (perdas/reversões)</t>
  </si>
  <si>
    <t>Juros e gastos similares suportados</t>
  </si>
  <si>
    <t>Juros e rendimentos similares obtidos</t>
  </si>
  <si>
    <t>Imposto sobre o rendimento do período</t>
  </si>
  <si>
    <t>RESULTADO LÍQUIDO DO PERÍODO</t>
  </si>
  <si>
    <t>Outros gastos e perdas</t>
  </si>
  <si>
    <t>Outros rendimentos e ganhos</t>
  </si>
  <si>
    <t>Gastos com o pessoal</t>
  </si>
  <si>
    <t>Fornecimento e serviços externos</t>
  </si>
  <si>
    <t>Trabalhos para a própria entidade</t>
  </si>
  <si>
    <t>Vendas e serviços prestados</t>
  </si>
  <si>
    <t>Subsídios à Exploração</t>
  </si>
  <si>
    <t>Ganhos/perdas imputados de subsidiárias, associadas e empreendimentos conjuntos</t>
  </si>
  <si>
    <t>Imparidade de inventários (perdas/reversões)</t>
  </si>
  <si>
    <t>Imparidade de dívidas a receber (perdas/reversões)</t>
  </si>
  <si>
    <t>Provisões (aumentos/reduções)</t>
  </si>
  <si>
    <t>Imparidade de investimentos não depreciáveis/amortizáveis (perdas/reversões)</t>
  </si>
  <si>
    <t>Aumentos/reduções de justo valor</t>
  </si>
  <si>
    <t>EBITDA (Resultado antes de depreciações, gastos de financiamento e impostos)</t>
  </si>
  <si>
    <t>EBIT (Resultado Operacional)</t>
  </si>
  <si>
    <t>RESULTADO ANTES DE IMPOSTOS</t>
  </si>
  <si>
    <t>Variação nos inventários da produção</t>
  </si>
  <si>
    <t>Capital realizado</t>
  </si>
  <si>
    <t>Acções (quotas próprias)</t>
  </si>
  <si>
    <t>Outros instrumentos de capital próprio</t>
  </si>
  <si>
    <t>Excedentes de revalorização</t>
  </si>
  <si>
    <t>Outras variações no capital próprio</t>
  </si>
  <si>
    <t>Resultado líquido do período</t>
  </si>
  <si>
    <t>TOTAL DO CAPITAL PRÓPRIO</t>
  </si>
  <si>
    <t>Passivo não corrente</t>
  </si>
  <si>
    <t>Provisões</t>
  </si>
  <si>
    <t>Financiamentos obtidos</t>
  </si>
  <si>
    <t>Outras Contas a pagar</t>
  </si>
  <si>
    <t>Passivo corrente</t>
  </si>
  <si>
    <t>Accionistas/sócios</t>
  </si>
  <si>
    <t>Financiamentos Obtidos</t>
  </si>
  <si>
    <t>Outras contas a pagar</t>
  </si>
  <si>
    <t>Activo Não Corrente</t>
  </si>
  <si>
    <t>Activos Intangíveis</t>
  </si>
  <si>
    <t>Investimentos financeiros</t>
  </si>
  <si>
    <t>Activo corrente</t>
  </si>
  <si>
    <t>Inventários</t>
  </si>
  <si>
    <t>Outras contas a receber</t>
  </si>
  <si>
    <t>Diferimentos</t>
  </si>
  <si>
    <t>Caixa e depósitos bancários</t>
  </si>
  <si>
    <t>Total Activos Intangíveis</t>
  </si>
  <si>
    <t>Total Activos Fixos Tangíveis</t>
  </si>
  <si>
    <t>Goodwill</t>
  </si>
  <si>
    <t>Projectos de desenvolvimento</t>
  </si>
  <si>
    <t>Programas de computador</t>
  </si>
  <si>
    <t>Propriedade industrial</t>
  </si>
  <si>
    <t>Outros activos intangíveis</t>
  </si>
  <si>
    <t>Na sheet Gastos com Pessoal, definir os colaboradores (Gerência e Pessoal) da empresa e respectivas remunerações brutas mensais. Para além disto, definir, caso se aplique um valor para a formação e outros custos com pessoal;</t>
  </si>
  <si>
    <t>Serviços especializados</t>
  </si>
  <si>
    <t>Materiais</t>
  </si>
  <si>
    <t>Ferramentas e utensilios de desgaste rápido</t>
  </si>
  <si>
    <t>Livros e documentação técnica</t>
  </si>
  <si>
    <t>Energia e fluidos</t>
  </si>
  <si>
    <t>Combustíveis</t>
  </si>
  <si>
    <t>Água</t>
  </si>
  <si>
    <t>Deslocações, estadas e transportes</t>
  </si>
  <si>
    <t>Deslocações e Estadas</t>
  </si>
  <si>
    <t>Transportes de pessoal</t>
  </si>
  <si>
    <t>Serviços diversos</t>
  </si>
  <si>
    <t>Outros serviços</t>
  </si>
  <si>
    <t>Remunerações</t>
  </si>
  <si>
    <t>Órgãos Sociais</t>
  </si>
  <si>
    <t>Encargos sobre remunerações</t>
  </si>
  <si>
    <t>Seguros Acidentes de Trabalho e doenças profissionais</t>
  </si>
  <si>
    <t>Gastos de acção social</t>
  </si>
  <si>
    <t>Outros gastos com pessoal</t>
  </si>
  <si>
    <t>Outros Gastos</t>
  </si>
  <si>
    <t>TOTAL OUTROS GASTOS</t>
  </si>
  <si>
    <t>TOTAL GASTOS COM PESSOAL</t>
  </si>
  <si>
    <t xml:space="preserve">Total </t>
  </si>
  <si>
    <t xml:space="preserve">   Terrenos e Recursos Naturais</t>
  </si>
  <si>
    <t xml:space="preserve">Capital </t>
  </si>
  <si>
    <t>Depreciações e amortizações</t>
  </si>
  <si>
    <t>Edificios e Outras Construções</t>
  </si>
  <si>
    <t>Comissões &amp; Prémios</t>
  </si>
  <si>
    <t>Taxas de Depreciações e amortizações</t>
  </si>
  <si>
    <t>Equipamento  Básico</t>
  </si>
  <si>
    <t>Equipamento de Transporte</t>
  </si>
  <si>
    <t>Equipamento Administrativo</t>
  </si>
  <si>
    <t>Outros activos fixos tangiveis</t>
  </si>
  <si>
    <t>Equipamento básico</t>
  </si>
  <si>
    <t>Equipamento de transporte</t>
  </si>
  <si>
    <t>Equipamento administrativo</t>
  </si>
  <si>
    <t>Equipamento biológicos</t>
  </si>
  <si>
    <t>Total Depreciações &amp; Amortizações</t>
  </si>
  <si>
    <t>* nota: se a taxa a utilizar for 33,33%, colocar mais uma casa decimal, considerando 33,333%</t>
  </si>
  <si>
    <t xml:space="preserve">Valores Acumulados </t>
  </si>
  <si>
    <t>Valores Balanço</t>
  </si>
  <si>
    <t>Depreciações &amp; Amortizações acumuladas</t>
  </si>
  <si>
    <t>Reservas</t>
  </si>
  <si>
    <t>Subsidios</t>
  </si>
  <si>
    <t>Taxa de Segurança Social - entidade - órgãos sociais</t>
  </si>
  <si>
    <t>Taxa de Segurança Social - entidade - colaboradores</t>
  </si>
  <si>
    <t>Taxa de Segurança Social - pessoal - órgãos sociais</t>
  </si>
  <si>
    <t>Taxa de Segurança Social - pessoal - colaboradores</t>
  </si>
  <si>
    <t>Outros instrumentos de capital</t>
  </si>
  <si>
    <t xml:space="preserve">Investimento </t>
  </si>
  <si>
    <t xml:space="preserve">Empréstimos de Sócios </t>
  </si>
  <si>
    <t>Cálculos Auxiliares</t>
  </si>
  <si>
    <t>Consumo de Unidades de Matérias-Primas por Unidade de Produto Acabado</t>
  </si>
  <si>
    <t>Matérias Primas e Subsidiárias (descriminação)</t>
  </si>
  <si>
    <t>Unidade de Medida</t>
  </si>
  <si>
    <t>Produto A</t>
  </si>
  <si>
    <t>Produto B</t>
  </si>
  <si>
    <t>Produto C</t>
  </si>
  <si>
    <t>Produto D</t>
  </si>
  <si>
    <t>Produção (em Quantidades)</t>
  </si>
  <si>
    <t>Unidades físicas</t>
  </si>
  <si>
    <t>Produtos</t>
  </si>
  <si>
    <t>Consumo de Matérias Primas 1*</t>
  </si>
  <si>
    <t>Matérias Primas e Subsidiárias</t>
  </si>
  <si>
    <t>Preço das Matérias Primas e Subsidiárias</t>
  </si>
  <si>
    <t xml:space="preserve">Matérias Primas e Subsidiárias </t>
  </si>
  <si>
    <t>Valor do consumo 2*</t>
  </si>
  <si>
    <t>1* obtido da  multiplicação da produção pelo consumo de matéria prima por unidade de produto acabado.</t>
  </si>
  <si>
    <t>2* obtido da multiplicação do consumo das matérias-primas pelo preço.</t>
  </si>
  <si>
    <t>Liquidez Corrente</t>
  </si>
  <si>
    <t>Cobertura dos encargos financeiros</t>
  </si>
  <si>
    <t>Grau de Alavanca Financeira</t>
  </si>
  <si>
    <t>Terrenos e Recursos Naturais</t>
  </si>
  <si>
    <t xml:space="preserve">   Equipamentos biológicos</t>
  </si>
  <si>
    <t>NOTA</t>
  </si>
  <si>
    <t>No caso de empresas industriais é aconselhado o uso da sheet Calculos Auxiliares. Esta sheet  constitui uma base de cálculo indispensável ao suporte previsional do modelo de projecções.</t>
  </si>
  <si>
    <t>CV</t>
  </si>
  <si>
    <t>FSE - Custos Fixos</t>
  </si>
  <si>
    <t>FSE - Custos Variáveis</t>
  </si>
  <si>
    <t>TOTAL FSE</t>
  </si>
  <si>
    <t>Margem Bruta de Contribuição</t>
  </si>
  <si>
    <t>FSE Variáveis</t>
  </si>
  <si>
    <t>Ponto Crítico</t>
  </si>
  <si>
    <t>Ponto Crítico Operacional Previsional</t>
  </si>
  <si>
    <t>Rentabilidade Líquida sobre as vendas</t>
  </si>
  <si>
    <t>N.º meses subsidio alimentação (meses)</t>
  </si>
  <si>
    <t>Quadro de Pessoal (n.º pessoas)</t>
  </si>
  <si>
    <t>Quadro de Pessoal (n.º meses de trabalho)</t>
  </si>
  <si>
    <t>N.º meses actividade primeiro ano</t>
  </si>
  <si>
    <t>N.º anos de carência</t>
  </si>
  <si>
    <t>Valor Residual ano N</t>
  </si>
  <si>
    <t>ou</t>
  </si>
  <si>
    <r>
      <rPr>
        <b/>
        <sz val="9"/>
        <color indexed="10"/>
        <rFont val="Arial Narrow"/>
        <family val="2"/>
      </rPr>
      <t>1.</t>
    </r>
    <r>
      <rPr>
        <sz val="8"/>
        <color indexed="12"/>
        <rFont val="Arial Narrow"/>
        <family val="2"/>
      </rPr>
      <t xml:space="preserve"> PERPETUIDADE a crescer à taxa g</t>
    </r>
  </si>
  <si>
    <t>Beta U de empresas de referência</t>
  </si>
  <si>
    <t>Taxa de Actualização R = Rf + Bu*(Rm-Rf)</t>
  </si>
  <si>
    <t>Na perspectiva do Projecto Pós-Financiamento</t>
  </si>
  <si>
    <r>
      <t xml:space="preserve">Custo Capital </t>
    </r>
    <r>
      <rPr>
        <sz val="8"/>
        <color indexed="12"/>
        <rFont val="Arial Narrow"/>
        <family val="2"/>
      </rPr>
      <t>Rcp = Rf+</t>
    </r>
    <r>
      <rPr>
        <b/>
        <i/>
        <sz val="8"/>
        <color indexed="12"/>
        <rFont val="Arial Narrow"/>
        <family val="2"/>
      </rPr>
      <t>B</t>
    </r>
    <r>
      <rPr>
        <sz val="8"/>
        <color indexed="12"/>
        <rFont val="Arial Narrow"/>
        <family val="2"/>
      </rPr>
      <t>p*(Rm-Rf</t>
    </r>
    <r>
      <rPr>
        <sz val="8"/>
        <rFont val="Arial Narrow"/>
        <family val="2"/>
      </rPr>
      <t>)</t>
    </r>
  </si>
  <si>
    <r>
      <rPr>
        <sz val="8"/>
        <color indexed="12"/>
        <rFont val="Arial Narrow"/>
        <family val="2"/>
      </rPr>
      <t xml:space="preserve">Beta p = </t>
    </r>
    <r>
      <rPr>
        <b/>
        <i/>
        <sz val="8"/>
        <color indexed="12"/>
        <rFont val="Arial Narrow"/>
        <family val="2"/>
      </rPr>
      <t>B</t>
    </r>
    <r>
      <rPr>
        <sz val="8"/>
        <color indexed="12"/>
        <rFont val="Arial Narrow"/>
        <family val="2"/>
      </rPr>
      <t>u * (1+(1-t)*CA/CP)</t>
    </r>
  </si>
  <si>
    <r>
      <t xml:space="preserve">Taxa de atualização </t>
    </r>
    <r>
      <rPr>
        <sz val="8"/>
        <color indexed="12"/>
        <rFont val="Arial Narrow"/>
        <family val="2"/>
      </rPr>
      <t>Ru = RF+Bu*(Rm-Rf)</t>
    </r>
  </si>
  <si>
    <t>Fuxos atualizados acumulados</t>
  </si>
  <si>
    <t>Ano inicial do projeto (Ano 0)</t>
  </si>
  <si>
    <t>Taxa de juro de ativos sem risco - Rf (Obrig Tesouro)</t>
  </si>
  <si>
    <t>* Rendimento esperado de mercado (entenda-se mercado acionista de referência)</t>
  </si>
  <si>
    <t>Na perspectiva do Projecto (Pré-Financiamento = 100% CP)</t>
  </si>
  <si>
    <r>
      <rPr>
        <b/>
        <sz val="8"/>
        <color indexed="10"/>
        <rFont val="Arial Narrow"/>
        <family val="2"/>
      </rPr>
      <t>2.</t>
    </r>
    <r>
      <rPr>
        <sz val="8"/>
        <color indexed="12"/>
        <rFont val="Arial Narrow"/>
        <family val="2"/>
      </rPr>
      <t xml:space="preserve"> (Ativo Cap Fixo não depreciado N + Fundo de Maneio Necessário N)/ fator atualiz (h12*(1+I11))</t>
    </r>
  </si>
  <si>
    <r>
      <rPr>
        <b/>
        <sz val="8"/>
        <color indexed="10"/>
        <rFont val="Arial Narrow"/>
        <family val="2"/>
      </rPr>
      <t>2.</t>
    </r>
    <r>
      <rPr>
        <sz val="8"/>
        <color indexed="12"/>
        <rFont val="Arial Narrow"/>
        <family val="2"/>
      </rPr>
      <t xml:space="preserve"> (Ativo Cap Fixo não depreciado N + Fundo de Maneio Necessário N)/ fator atualiz (h32*(1+I31))</t>
    </r>
  </si>
  <si>
    <t>-</t>
  </si>
  <si>
    <r>
      <rPr>
        <b/>
        <sz val="8"/>
        <color indexed="10"/>
        <rFont val="Arial Narrow"/>
        <family val="2"/>
      </rPr>
      <t>2.</t>
    </r>
    <r>
      <rPr>
        <sz val="8"/>
        <color indexed="12"/>
        <rFont val="Arial Narrow"/>
        <family val="2"/>
      </rPr>
      <t xml:space="preserve"> Cap Proprio N =</t>
    </r>
    <r>
      <rPr>
        <sz val="6"/>
        <color indexed="12"/>
        <rFont val="Arial Narrow"/>
        <family val="2"/>
      </rPr>
      <t>(Ativo não depreciado + F.Maneio -Passivo) /(h54*(1+I53))</t>
    </r>
  </si>
  <si>
    <t>Prémio de risco de mercado = (Rm*-Rf) ou pº</t>
  </si>
  <si>
    <t xml:space="preserve">Na maioria dos projetos considerar 0% e utilizar Não a perpetuidade mas sim o valor residual o valor do Ativo Fixo não Amortizado e o Valor Residual do F Maneio no último ano. VER  Folha Avaliação em que existem as 2 Hipóteses. </t>
  </si>
  <si>
    <t xml:space="preserve"> = ano em que inicia o investimento e poderá ou não haver exploração</t>
  </si>
  <si>
    <t>Definido por Lei - ter em conta Localização e condições específicas da atividade</t>
  </si>
  <si>
    <t>A definir em fução do Lei e do valor dos rendimentos do trabalho.</t>
  </si>
  <si>
    <t>Em função do tipo de produtos e serviços</t>
  </si>
  <si>
    <t>A definir em função da prática da empresa e do sector assim como da política a prosseguir</t>
  </si>
  <si>
    <t>Ver condições de mercado e risco da empresa na ótica bancári</t>
  </si>
  <si>
    <t>Beta = 100% se não conhcer ou não utilizar empresa de referência</t>
  </si>
  <si>
    <r>
      <t xml:space="preserve">NOTA: Quando não se aplica </t>
    </r>
    <r>
      <rPr>
        <i/>
        <u val="single"/>
        <sz val="8"/>
        <color indexed="12"/>
        <rFont val="Arial Narrow"/>
        <family val="2"/>
      </rPr>
      <t>Beta</t>
    </r>
    <r>
      <rPr>
        <sz val="8"/>
        <color indexed="12"/>
        <rFont val="Arial Narrow"/>
        <family val="2"/>
      </rPr>
      <t xml:space="preserve">, colocar: </t>
    </r>
  </si>
  <si>
    <t>Um valor para o prémio de risco (pº) adequado ao projecto</t>
  </si>
  <si>
    <t>Pay Back period (arred ano inteiro)</t>
  </si>
  <si>
    <t>No caso de pretender considerar um nº superior de produtos serviços do que os previstos na folha VN - recomenda-se:
a) copiar a folha VN para uma folha desprotegida em que poderá considerar todos os produtos
b) Meter o valor total dos produtos para o mercado interno em VN - Produto A e o Valor total de produtos exportados em Exportações - Produto A.</t>
  </si>
  <si>
    <t>Aconselha-se considerar as Imparidades em 0%, pelas implicações a níveld e interpretação, já que apenas serão contabilizadas imparidades sobre Clientes com consequência no valor do F de Maneio.</t>
  </si>
  <si>
    <t>Na folha Financiamento é possível considerar valores positivos (aumentos) ou valor negativos (reembolsos) para as rúbricas:
* Outros instrumentos de capital (+/-)   
* Empréstimos de Sócios (+) ou Reembolsos a sócios (-)
* Financiamento bancário e outras Inst. Crédito
 * Subsidios (+/-)</t>
  </si>
  <si>
    <t>A distribuição de dividendos poderá ser registada na folha PLANO FINANCEIRO Linha 22</t>
  </si>
  <si>
    <t>Perdas por imparidade                                                                %</t>
  </si>
  <si>
    <t>Subsídio Alimentação  - nº dias úteis/mês x subsidio/dia</t>
  </si>
  <si>
    <r>
      <t xml:space="preserve">ACERTAR MODELO: Após carregamento dos dados e sempre que introduza alterações, é necessário carregar na tecla ACERTAR MODELO na folha PLANO FINANCEIRO.   </t>
    </r>
    <r>
      <rPr>
        <sz val="10"/>
        <color indexed="12"/>
        <rFont val="Arial Narrow"/>
        <family val="2"/>
      </rPr>
      <t>Se necessário - carregar 2 vezes  ACERTAR MODELO</t>
    </r>
  </si>
  <si>
    <t xml:space="preserve">NOTA: A utilização desta ferramenta,  disponibilizada pelo IAPMEI ,  é completamente autónoma  de  qualquer 
outra área/atividade do IAPMEI. Independentemente do fim a que se destine, a utilização da ferramente
 assim   como  dos  resultados  com   ela  obtidos,  é  da  inteira   responsabilidade   de   cada  utilizador.  </t>
  </si>
  <si>
    <r>
      <t xml:space="preserve">3. </t>
    </r>
    <r>
      <rPr>
        <b/>
        <sz val="8"/>
        <color indexed="12"/>
        <rFont val="Arial Narrow"/>
        <family val="2"/>
      </rPr>
      <t>Na análise na  Ótica do Investidor (Free Cash Flow to Equity)</t>
    </r>
  </si>
  <si>
    <r>
      <t xml:space="preserve">    No método de avaliação pelo desconto de fluxos de caixa líquido do acionista (FCFE – do inglês Free Cashflow to Equity), o objetivo é avaliar directamente o património
    líquido da empresa.  </t>
    </r>
    <r>
      <rPr>
        <b/>
        <sz val="8"/>
        <color indexed="12"/>
        <rFont val="Arial Narrow"/>
        <family val="2"/>
      </rPr>
      <t xml:space="preserve"> 
    Na avaliação do projeto na ótica do Investidor ou do Capital Próprio</t>
    </r>
    <r>
      <rPr>
        <sz val="8"/>
        <rFont val="Arial Narrow"/>
        <family val="2"/>
      </rPr>
      <t xml:space="preserve">: 
    FCFEt = Result. Líquidot + Amortiz t - Investimento t (Cap Fixo e FMN) + Financiamento alheio t (CA) - Reembolsos Financiamento t. 
    em que a </t>
    </r>
    <r>
      <rPr>
        <b/>
        <sz val="8"/>
        <color indexed="12"/>
        <rFont val="Arial Narrow"/>
        <family val="2"/>
      </rPr>
      <t xml:space="preserve"> taxa de atualização  R = Rf + Bu*(Rm - Rf)</t>
    </r>
  </si>
  <si>
    <r>
      <t>Em linhas gerais, o método dos fluxos de caixa descontados consiste em estimar-se os fluxos de caixa futuros da empresa e trazê-los a valor presente por uma determinada taxa de desconto (WACC). Por outras palavras - o</t>
    </r>
    <r>
      <rPr>
        <b/>
        <sz val="8"/>
        <color indexed="12"/>
        <rFont val="Arial Narrow"/>
        <family val="2"/>
      </rPr>
      <t xml:space="preserve"> valor de uma empresa </t>
    </r>
    <r>
      <rPr>
        <sz val="8"/>
        <rFont val="Arial Narrow"/>
        <family val="2"/>
      </rPr>
      <t xml:space="preserve">= Valor presente (atual) dos fluxos FCFF (fluxo de caixa líquido para a firma, do inglês Free Cash Flow to Firm). FCFF = CFL = EBITx(1-t)+Amortiz -Investimento (Capital Fixo - Fundo de Maneio Necessário). 
</t>
    </r>
    <r>
      <rPr>
        <b/>
        <sz val="8"/>
        <color indexed="12"/>
        <rFont val="Arial Narrow"/>
        <family val="2"/>
      </rPr>
      <t>Na ótica do Investidor o Valor</t>
    </r>
    <r>
      <rPr>
        <sz val="8"/>
        <rFont val="Arial Narrow"/>
        <family val="2"/>
      </rPr>
      <t xml:space="preserve"> = </t>
    </r>
    <r>
      <rPr>
        <sz val="8"/>
        <color indexed="12"/>
        <rFont val="Arial Narrow"/>
        <family val="2"/>
      </rPr>
      <t xml:space="preserve">Valor da Empresa </t>
    </r>
    <r>
      <rPr>
        <sz val="8"/>
        <rFont val="Arial Narrow"/>
        <family val="2"/>
      </rPr>
      <t xml:space="preserve">- Dívida Financeira Líquida de Ativos Financeiros.
</t>
    </r>
    <r>
      <rPr>
        <b/>
        <u val="single"/>
        <sz val="8"/>
        <rFont val="Arial Narrow"/>
        <family val="2"/>
      </rPr>
      <t>AVALIAÇÃO DO PROJETO:</t>
    </r>
    <r>
      <rPr>
        <b/>
        <sz val="8"/>
        <rFont val="Arial Narrow"/>
        <family val="2"/>
      </rPr>
      <t xml:space="preserve">  </t>
    </r>
    <r>
      <rPr>
        <b/>
        <sz val="8"/>
        <color indexed="12"/>
        <rFont val="Arial Narrow"/>
        <family val="2"/>
      </rPr>
      <t xml:space="preserve"> FCFF = CFL = EBITx(1-t)+Amortiz -Investimento (Capital Fixo - Fundo de Maneio Necessário) + valor residual investim (ano n)</t>
    </r>
    <r>
      <rPr>
        <sz val="8"/>
        <rFont val="Arial Narrow"/>
        <family val="2"/>
      </rPr>
      <t xml:space="preserve">
</t>
    </r>
    <r>
      <rPr>
        <b/>
        <sz val="8"/>
        <rFont val="Arial Narrow"/>
        <family val="2"/>
      </rPr>
      <t>1.</t>
    </r>
    <r>
      <rPr>
        <sz val="8"/>
        <rFont val="Arial Narrow"/>
        <family val="2"/>
      </rPr>
      <t xml:space="preserve"> </t>
    </r>
    <r>
      <rPr>
        <b/>
        <sz val="8"/>
        <color indexed="12"/>
        <rFont val="Arial Narrow"/>
        <family val="2"/>
      </rPr>
      <t>Na análise do projeto ou pré-financiamento em que se ignora a forma de financiamento o que é = 100% Cap Próprio</t>
    </r>
    <r>
      <rPr>
        <sz val="8"/>
        <color indexed="12"/>
        <rFont val="Arial Narrow"/>
        <family val="2"/>
      </rPr>
      <t>)</t>
    </r>
    <r>
      <rPr>
        <sz val="8"/>
        <rFont val="Arial Narrow"/>
        <family val="2"/>
      </rPr>
      <t xml:space="preserve"> a tx de utilização </t>
    </r>
    <r>
      <rPr>
        <b/>
        <sz val="8"/>
        <color indexed="12"/>
        <rFont val="Arial Narrow"/>
        <family val="2"/>
      </rPr>
      <t xml:space="preserve">R = Rf + Bu*(Rm - Rf). </t>
    </r>
    <r>
      <rPr>
        <sz val="8"/>
        <rFont val="Arial Narrow"/>
        <family val="2"/>
      </rPr>
      <t xml:space="preserve">
</t>
    </r>
    <r>
      <rPr>
        <b/>
        <sz val="8"/>
        <rFont val="Arial Narrow"/>
        <family val="2"/>
      </rPr>
      <t>2.</t>
    </r>
    <r>
      <rPr>
        <sz val="8"/>
        <rFont val="Arial Narrow"/>
        <family val="2"/>
      </rPr>
      <t xml:space="preserve"> </t>
    </r>
    <r>
      <rPr>
        <b/>
        <sz val="8"/>
        <color indexed="12"/>
        <rFont val="Arial Narrow"/>
        <family val="2"/>
      </rPr>
      <t>Na análise pós-financiamento</t>
    </r>
    <r>
      <rPr>
        <sz val="8"/>
        <rFont val="Arial Narrow"/>
        <family val="2"/>
      </rPr>
      <t xml:space="preserve">, considerando os </t>
    </r>
    <r>
      <rPr>
        <b/>
        <i/>
        <sz val="8"/>
        <rFont val="Arial Narrow"/>
        <family val="2"/>
      </rPr>
      <t>efeitos do capital alheio refletidos na taxa de utilização</t>
    </r>
    <r>
      <rPr>
        <sz val="8"/>
        <rFont val="Arial Narrow"/>
        <family val="2"/>
      </rPr>
      <t>,
    utiliza-se o</t>
    </r>
    <r>
      <rPr>
        <b/>
        <sz val="8"/>
        <color indexed="12"/>
        <rFont val="Arial Narrow"/>
        <family val="2"/>
      </rPr>
      <t xml:space="preserve"> wacc (cmpcp) = Rcp*CP /(CP+CA)+ Rca*(1-t)*CA/ (CP+CA)</t>
    </r>
    <r>
      <rPr>
        <sz val="8"/>
        <rFont val="Arial Narrow"/>
        <family val="2"/>
      </rPr>
      <t xml:space="preserve"> em que Rcp = Rf + Bp*(Rm-Rf).  </t>
    </r>
    <r>
      <rPr>
        <sz val="8"/>
        <color indexed="12"/>
        <rFont val="Arial Narrow"/>
        <family val="2"/>
      </rPr>
      <t>Bp = Bu*(1+(1-t)*(CA/CP)) com CA e CP do projeto</t>
    </r>
  </si>
  <si>
    <t>Em vigor no ano base</t>
  </si>
  <si>
    <t xml:space="preserve"> ' + 1. ou + 2. Por defeito    = 2.</t>
  </si>
  <si>
    <r>
      <t xml:space="preserve">Prazo de pagamento de IVA </t>
    </r>
    <r>
      <rPr>
        <b/>
        <sz val="8"/>
        <color indexed="12"/>
        <rFont val="Arial Narrow"/>
        <family val="2"/>
      </rPr>
      <t xml:space="preserve"> (trim = 4; mensal =12)</t>
    </r>
  </si>
  <si>
    <t>4 = trim; 1 = mensal</t>
  </si>
  <si>
    <t>Modelo Financeiro                                              do Plano de Negócios</t>
  </si>
  <si>
    <t>IAPMEI</t>
  </si>
  <si>
    <t>Data__/__/___</t>
  </si>
  <si>
    <t>Milho Grão Lda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</si>
</sst>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_);[Red]\(&quot;$&quot;#,##0.00\)"/>
    <numFmt numFmtId="173" formatCode="[$-816]mmm/yy;@"/>
    <numFmt numFmtId="174" formatCode="0_ ;[Red]\-0\ "/>
    <numFmt numFmtId="175" formatCode="0.0%"/>
    <numFmt numFmtId="176" formatCode="#,##0_ ;[Red]\-#,##0\ "/>
    <numFmt numFmtId="177" formatCode="0.000"/>
    <numFmt numFmtId="178" formatCode="#,##0.0"/>
    <numFmt numFmtId="179" formatCode="#,##0.00_ ;[Red]\-#,##0.00\ "/>
    <numFmt numFmtId="180" formatCode="0.0"/>
    <numFmt numFmtId="181" formatCode="0.0_)"/>
    <numFmt numFmtId="182" formatCode="0.00_)"/>
    <numFmt numFmtId="183" formatCode="#,##0_ ;\-#,##0\ "/>
    <numFmt numFmtId="184" formatCode="0.000000"/>
    <numFmt numFmtId="185" formatCode="0.00000"/>
    <numFmt numFmtId="186" formatCode="0.0000"/>
    <numFmt numFmtId="187" formatCode="0.000%"/>
    <numFmt numFmtId="188" formatCode="0.00000000"/>
    <numFmt numFmtId="189" formatCode="0.0000000"/>
  </numFmts>
  <fonts count="96">
    <font>
      <sz val="10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8"/>
      <name val="Trebuchet MS"/>
      <family val="2"/>
    </font>
    <font>
      <b/>
      <sz val="8"/>
      <color indexed="18"/>
      <name val="Arial Narrow"/>
      <family val="2"/>
    </font>
    <font>
      <b/>
      <u val="single"/>
      <sz val="8"/>
      <name val="Arial Narrow"/>
      <family val="2"/>
    </font>
    <font>
      <b/>
      <i/>
      <sz val="8"/>
      <name val="Arial Narrow"/>
      <family val="2"/>
    </font>
    <font>
      <sz val="8"/>
      <color indexed="12"/>
      <name val="Arial Narrow"/>
      <family val="2"/>
    </font>
    <font>
      <u val="single"/>
      <sz val="8"/>
      <name val="Arial Narrow"/>
      <family val="2"/>
    </font>
    <font>
      <b/>
      <sz val="8"/>
      <color indexed="12"/>
      <name val="Arial Narrow"/>
      <family val="2"/>
    </font>
    <font>
      <b/>
      <i/>
      <u val="single"/>
      <sz val="8"/>
      <name val="Arial Narrow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41"/>
      <name val="Arial Narrow"/>
      <family val="2"/>
    </font>
    <font>
      <sz val="8"/>
      <color indexed="61"/>
      <name val="Arial Narrow"/>
      <family val="2"/>
    </font>
    <font>
      <sz val="8"/>
      <color indexed="62"/>
      <name val="Arial Narrow"/>
      <family val="2"/>
    </font>
    <font>
      <sz val="10"/>
      <name val="ITC Zapf Dingbats"/>
      <family val="1"/>
    </font>
    <font>
      <sz val="10"/>
      <name val="Arial Narrow"/>
      <family val="2"/>
    </font>
    <font>
      <b/>
      <u val="single"/>
      <sz val="10"/>
      <name val="Arial Narrow"/>
      <family val="2"/>
    </font>
    <font>
      <sz val="8"/>
      <color indexed="23"/>
      <name val="Arial Narrow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b/>
      <sz val="12"/>
      <color indexed="18"/>
      <name val="Arial Narrow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color indexed="10"/>
      <name val="Arial Narrow"/>
      <family val="2"/>
    </font>
    <font>
      <sz val="8"/>
      <color indexed="22"/>
      <name val="Arial Narrow"/>
      <family val="2"/>
    </font>
    <font>
      <sz val="8"/>
      <color indexed="30"/>
      <name val="Arial Narrow"/>
      <family val="2"/>
    </font>
    <font>
      <b/>
      <sz val="8"/>
      <color indexed="10"/>
      <name val="Arial Narrow"/>
      <family val="2"/>
    </font>
    <font>
      <sz val="8"/>
      <color indexed="49"/>
      <name val="Arial Narrow"/>
      <family val="2"/>
    </font>
    <font>
      <b/>
      <sz val="9"/>
      <color indexed="10"/>
      <name val="Arial Narrow"/>
      <family val="2"/>
    </font>
    <font>
      <b/>
      <i/>
      <sz val="8"/>
      <color indexed="12"/>
      <name val="Arial Narrow"/>
      <family val="2"/>
    </font>
    <font>
      <b/>
      <sz val="10"/>
      <color indexed="12"/>
      <name val="Arial Narrow"/>
      <family val="2"/>
    </font>
    <font>
      <sz val="6"/>
      <color indexed="12"/>
      <name val="Arial Narrow"/>
      <family val="2"/>
    </font>
    <font>
      <i/>
      <u val="single"/>
      <sz val="8"/>
      <color indexed="12"/>
      <name val="Arial Narrow"/>
      <family val="2"/>
    </font>
    <font>
      <b/>
      <i/>
      <sz val="12"/>
      <name val="Arial Narrow"/>
      <family val="2"/>
    </font>
    <font>
      <sz val="10"/>
      <color indexed="12"/>
      <name val="Arial Narrow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color indexed="56"/>
      <name val="Arial Narrow"/>
      <family val="2"/>
    </font>
    <font>
      <sz val="8"/>
      <color indexed="56"/>
      <name val="Arial Narrow"/>
      <family val="2"/>
    </font>
    <font>
      <sz val="40"/>
      <color indexed="62"/>
      <name val="Arial Narrow"/>
      <family val="2"/>
    </font>
    <font>
      <sz val="22"/>
      <color indexed="62"/>
      <name val="Arial Narrow"/>
      <family val="2"/>
    </font>
    <font>
      <b/>
      <i/>
      <sz val="22"/>
      <color indexed="62"/>
      <name val="Arial Narrow"/>
      <family val="2"/>
    </font>
    <font>
      <b/>
      <i/>
      <sz val="18"/>
      <color indexed="62"/>
      <name val="Arial Narrow"/>
      <family val="2"/>
    </font>
    <font>
      <sz val="10"/>
      <color indexed="10"/>
      <name val="Arial Narrow"/>
      <family val="2"/>
    </font>
    <font>
      <sz val="9"/>
      <color indexed="10"/>
      <name val="Arial Narrow"/>
      <family val="2"/>
    </font>
    <font>
      <b/>
      <sz val="10"/>
      <color indexed="63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2060"/>
      <name val="Arial Narrow"/>
      <family val="2"/>
    </font>
    <font>
      <sz val="8"/>
      <color rgb="FF002060"/>
      <name val="Arial Narrow"/>
      <family val="2"/>
    </font>
    <font>
      <sz val="8"/>
      <color rgb="FF0000CC"/>
      <name val="Arial Narrow"/>
      <family val="2"/>
    </font>
    <font>
      <b/>
      <sz val="8"/>
      <color rgb="FF0000CC"/>
      <name val="Arial Narrow"/>
      <family val="2"/>
    </font>
    <font>
      <sz val="40"/>
      <color theme="3"/>
      <name val="Arial Narrow"/>
      <family val="2"/>
    </font>
    <font>
      <sz val="22"/>
      <color theme="3"/>
      <name val="Arial Narrow"/>
      <family val="2"/>
    </font>
    <font>
      <b/>
      <i/>
      <sz val="22"/>
      <color theme="3"/>
      <name val="Arial Narrow"/>
      <family val="2"/>
    </font>
    <font>
      <b/>
      <i/>
      <sz val="18"/>
      <color theme="3"/>
      <name val="Arial Narrow"/>
      <family val="2"/>
    </font>
    <font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55"/>
      </top>
      <bottom style="medium">
        <color indexed="63"/>
      </bottom>
    </border>
    <border>
      <left style="thin">
        <color indexed="22"/>
      </left>
      <right style="medium">
        <color indexed="55"/>
      </right>
      <top style="medium">
        <color indexed="55"/>
      </top>
      <bottom style="medium">
        <color indexed="63"/>
      </bottom>
    </border>
    <border>
      <left style="thin">
        <color indexed="22"/>
      </left>
      <right style="medium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5"/>
      </bottom>
    </border>
    <border>
      <left style="thin">
        <color indexed="22"/>
      </left>
      <right style="medium">
        <color indexed="55"/>
      </right>
      <top style="thin">
        <color indexed="22"/>
      </top>
      <bottom style="medium">
        <color indexed="55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ill="0" applyBorder="0" applyAlignment="0">
      <protection/>
    </xf>
    <xf numFmtId="9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575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76" fontId="4" fillId="0" borderId="10" xfId="0" applyNumberFormat="1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/>
      <protection hidden="1"/>
    </xf>
    <xf numFmtId="4" fontId="13" fillId="0" borderId="10" xfId="62" applyNumberFormat="1" applyFont="1" applyFill="1" applyBorder="1" applyAlignment="1" applyProtection="1">
      <alignment horizontal="center"/>
      <protection locked="0"/>
    </xf>
    <xf numFmtId="0" fontId="24" fillId="0" borderId="0" xfId="57" applyFont="1" applyFill="1" applyBorder="1" applyProtection="1">
      <alignment/>
      <protection hidden="1"/>
    </xf>
    <xf numFmtId="0" fontId="23" fillId="0" borderId="0" xfId="57" applyFont="1" applyFill="1" applyBorder="1" applyAlignment="1" applyProtection="1">
      <alignment horizontal="left"/>
      <protection hidden="1"/>
    </xf>
    <xf numFmtId="0" fontId="23" fillId="0" borderId="0" xfId="57" applyFont="1" applyFill="1" applyProtection="1">
      <alignment/>
      <protection hidden="1"/>
    </xf>
    <xf numFmtId="0" fontId="4" fillId="0" borderId="0" xfId="57" applyFont="1" applyFill="1" applyProtection="1">
      <alignment/>
      <protection hidden="1"/>
    </xf>
    <xf numFmtId="0" fontId="1" fillId="34" borderId="0" xfId="57" applyFill="1" applyProtection="1">
      <alignment/>
      <protection hidden="1"/>
    </xf>
    <xf numFmtId="0" fontId="24" fillId="0" borderId="0" xfId="57" applyFont="1" applyFill="1" applyProtection="1">
      <alignment/>
      <protection hidden="1"/>
    </xf>
    <xf numFmtId="0" fontId="4" fillId="0" borderId="0" xfId="57" applyFont="1" applyFill="1" applyBorder="1" applyProtection="1">
      <alignment/>
      <protection hidden="1"/>
    </xf>
    <xf numFmtId="0" fontId="23" fillId="0" borderId="0" xfId="57" applyFont="1" applyFill="1" applyBorder="1" applyAlignment="1" applyProtection="1">
      <alignment vertical="center" wrapText="1"/>
      <protection hidden="1"/>
    </xf>
    <xf numFmtId="0" fontId="23" fillId="0" borderId="0" xfId="57" applyFont="1" applyFill="1" applyAlignment="1" applyProtection="1">
      <alignment vertical="center" wrapText="1"/>
      <protection hidden="1"/>
    </xf>
    <xf numFmtId="0" fontId="7" fillId="35" borderId="10" xfId="57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2" fontId="4" fillId="34" borderId="0" xfId="62" applyNumberFormat="1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wrapText="1"/>
      <protection hidden="1"/>
    </xf>
    <xf numFmtId="10" fontId="4" fillId="34" borderId="0" xfId="62" applyNumberFormat="1" applyFont="1" applyFill="1" applyBorder="1" applyAlignment="1" applyProtection="1">
      <alignment/>
      <protection hidden="1"/>
    </xf>
    <xf numFmtId="9" fontId="4" fillId="34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9" fontId="4" fillId="0" borderId="0" xfId="62" applyFont="1" applyFill="1" applyAlignment="1" applyProtection="1">
      <alignment/>
      <protection hidden="1"/>
    </xf>
    <xf numFmtId="2" fontId="4" fillId="0" borderId="0" xfId="62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wrapText="1"/>
      <protection hidden="1"/>
    </xf>
    <xf numFmtId="2" fontId="4" fillId="0" borderId="0" xfId="62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6" fillId="36" borderId="0" xfId="0" applyFont="1" applyFill="1" applyAlignment="1" applyProtection="1">
      <alignment horizontal="right"/>
      <protection hidden="1"/>
    </xf>
    <xf numFmtId="10" fontId="13" fillId="0" borderId="10" xfId="62" applyNumberFormat="1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0" fontId="13" fillId="0" borderId="10" xfId="62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Fill="1" applyBorder="1" applyAlignment="1" applyProtection="1">
      <alignment vertical="center"/>
      <protection locked="0"/>
    </xf>
    <xf numFmtId="174" fontId="13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33" borderId="10" xfId="0" applyNumberFormat="1" applyFont="1" applyFill="1" applyBorder="1" applyAlignment="1" applyProtection="1">
      <alignment vertical="center"/>
      <protection/>
    </xf>
    <xf numFmtId="176" fontId="5" fillId="33" borderId="13" xfId="0" applyNumberFormat="1" applyFont="1" applyFill="1" applyBorder="1" applyAlignment="1" applyProtection="1">
      <alignment/>
      <protection/>
    </xf>
    <xf numFmtId="174" fontId="4" fillId="0" borderId="12" xfId="0" applyNumberFormat="1" applyFont="1" applyFill="1" applyBorder="1" applyAlignment="1" applyProtection="1">
      <alignment horizontal="center" vertical="center"/>
      <protection locked="0"/>
    </xf>
    <xf numFmtId="9" fontId="13" fillId="0" borderId="10" xfId="62" applyFont="1" applyFill="1" applyBorder="1" applyAlignment="1" applyProtection="1">
      <alignment horizontal="center"/>
      <protection locked="0"/>
    </xf>
    <xf numFmtId="174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176" fontId="31" fillId="0" borderId="10" xfId="58" applyNumberFormat="1" applyFont="1" applyFill="1" applyBorder="1" applyProtection="1">
      <alignment/>
      <protection locked="0"/>
    </xf>
    <xf numFmtId="3" fontId="4" fillId="0" borderId="15" xfId="62" applyNumberFormat="1" applyFont="1" applyFill="1" applyBorder="1" applyAlignment="1" applyProtection="1">
      <alignment horizontal="right" vertical="center"/>
      <protection locked="0"/>
    </xf>
    <xf numFmtId="9" fontId="4" fillId="0" borderId="0" xfId="62" applyFont="1" applyFill="1" applyBorder="1" applyAlignment="1" applyProtection="1">
      <alignment/>
      <protection hidden="1"/>
    </xf>
    <xf numFmtId="3" fontId="4" fillId="0" borderId="1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left" indent="1"/>
      <protection/>
    </xf>
    <xf numFmtId="178" fontId="4" fillId="33" borderId="16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Alignment="1" applyProtection="1">
      <alignment/>
      <protection/>
    </xf>
    <xf numFmtId="178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/>
    </xf>
    <xf numFmtId="178" fontId="5" fillId="0" borderId="0" xfId="0" applyNumberFormat="1" applyFont="1" applyFill="1" applyBorder="1" applyAlignment="1" applyProtection="1">
      <alignment horizontal="left"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174" fontId="5" fillId="33" borderId="10" xfId="0" applyNumberFormat="1" applyFont="1" applyFill="1" applyBorder="1" applyAlignment="1" applyProtection="1">
      <alignment horizontal="center"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 horizontal="left"/>
      <protection/>
    </xf>
    <xf numFmtId="9" fontId="13" fillId="0" borderId="0" xfId="62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10" fillId="33" borderId="17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horizontal="center"/>
      <protection/>
    </xf>
    <xf numFmtId="176" fontId="5" fillId="0" borderId="10" xfId="0" applyNumberFormat="1" applyFont="1" applyFill="1" applyBorder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/>
      <protection/>
    </xf>
    <xf numFmtId="10" fontId="13" fillId="33" borderId="10" xfId="62" applyNumberFormat="1" applyFont="1" applyFill="1" applyBorder="1" applyAlignment="1" applyProtection="1">
      <alignment horizontal="right" vertical="center"/>
      <protection/>
    </xf>
    <xf numFmtId="176" fontId="4" fillId="33" borderId="1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indent="1"/>
      <protection/>
    </xf>
    <xf numFmtId="0" fontId="25" fillId="0" borderId="0" xfId="0" applyFont="1" applyFill="1" applyAlignment="1" applyProtection="1">
      <alignment horizontal="left"/>
      <protection/>
    </xf>
    <xf numFmtId="0" fontId="25" fillId="34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 horizontal="left"/>
      <protection/>
    </xf>
    <xf numFmtId="0" fontId="3" fillId="36" borderId="0" xfId="0" applyFont="1" applyFill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9" fontId="13" fillId="33" borderId="10" xfId="62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/>
      <protection/>
    </xf>
    <xf numFmtId="38" fontId="4" fillId="33" borderId="10" xfId="0" applyNumberFormat="1" applyFont="1" applyFill="1" applyBorder="1" applyAlignment="1" applyProtection="1">
      <alignment/>
      <protection/>
    </xf>
    <xf numFmtId="174" fontId="13" fillId="33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/>
      <protection/>
    </xf>
    <xf numFmtId="38" fontId="11" fillId="0" borderId="0" xfId="0" applyNumberFormat="1" applyFont="1" applyFill="1" applyAlignment="1" applyProtection="1">
      <alignment/>
      <protection/>
    </xf>
    <xf numFmtId="38" fontId="4" fillId="0" borderId="0" xfId="0" applyNumberFormat="1" applyFont="1" applyFill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174" fontId="5" fillId="33" borderId="13" xfId="0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9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38" fontId="4" fillId="0" borderId="0" xfId="0" applyNumberFormat="1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38" fontId="13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horizontal="right" vertical="center"/>
      <protection/>
    </xf>
    <xf numFmtId="176" fontId="5" fillId="33" borderId="13" xfId="0" applyNumberFormat="1" applyFont="1" applyFill="1" applyBorder="1" applyAlignment="1" applyProtection="1">
      <alignment horizontal="right" vertic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 horizontal="left" indent="1"/>
      <protection/>
    </xf>
    <xf numFmtId="10" fontId="4" fillId="33" borderId="10" xfId="62" applyNumberFormat="1" applyFont="1" applyFill="1" applyBorder="1" applyAlignment="1" applyProtection="1">
      <alignment horizontal="center"/>
      <protection/>
    </xf>
    <xf numFmtId="176" fontId="4" fillId="33" borderId="10" xfId="0" applyNumberFormat="1" applyFont="1" applyFill="1" applyBorder="1" applyAlignment="1" applyProtection="1">
      <alignment/>
      <protection/>
    </xf>
    <xf numFmtId="38" fontId="4" fillId="33" borderId="11" xfId="0" applyNumberFormat="1" applyFont="1" applyFill="1" applyBorder="1" applyAlignment="1" applyProtection="1">
      <alignment/>
      <protection/>
    </xf>
    <xf numFmtId="38" fontId="4" fillId="33" borderId="16" xfId="0" applyNumberFormat="1" applyFont="1" applyFill="1" applyBorder="1" applyAlignment="1" applyProtection="1">
      <alignment/>
      <protection/>
    </xf>
    <xf numFmtId="176" fontId="4" fillId="33" borderId="16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9" fontId="4" fillId="33" borderId="0" xfId="62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/>
      <protection/>
    </xf>
    <xf numFmtId="9" fontId="4" fillId="33" borderId="16" xfId="62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left" indent="1"/>
      <protection/>
    </xf>
    <xf numFmtId="9" fontId="4" fillId="33" borderId="20" xfId="62" applyFont="1" applyFill="1" applyBorder="1" applyAlignment="1" applyProtection="1">
      <alignment horizontal="left"/>
      <protection/>
    </xf>
    <xf numFmtId="38" fontId="5" fillId="0" borderId="0" xfId="0" applyNumberFormat="1" applyFont="1" applyFill="1" applyBorder="1" applyAlignment="1" applyProtection="1">
      <alignment/>
      <protection/>
    </xf>
    <xf numFmtId="9" fontId="4" fillId="34" borderId="0" xfId="62" applyFont="1" applyFill="1" applyBorder="1" applyAlignment="1" applyProtection="1">
      <alignment horizontal="left"/>
      <protection/>
    </xf>
    <xf numFmtId="176" fontId="4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 indent="1"/>
      <protection/>
    </xf>
    <xf numFmtId="174" fontId="4" fillId="33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38" fontId="4" fillId="33" borderId="18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8" xfId="0" applyFont="1" applyFill="1" applyBorder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center"/>
      <protection/>
    </xf>
    <xf numFmtId="3" fontId="4" fillId="33" borderId="10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indent="1"/>
      <protection/>
    </xf>
    <xf numFmtId="3" fontId="4" fillId="0" borderId="21" xfId="0" applyNumberFormat="1" applyFont="1" applyFill="1" applyBorder="1" applyAlignment="1" applyProtection="1">
      <alignment horizontal="center"/>
      <protection/>
    </xf>
    <xf numFmtId="3" fontId="4" fillId="0" borderId="21" xfId="0" applyNumberFormat="1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4" fillId="33" borderId="22" xfId="0" applyFont="1" applyFill="1" applyBorder="1" applyAlignment="1" applyProtection="1">
      <alignment horizontal="left" indent="2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4" fillId="0" borderId="21" xfId="0" applyFont="1" applyFill="1" applyBorder="1" applyAlignment="1" applyProtection="1">
      <alignment horizontal="left" indent="2"/>
      <protection/>
    </xf>
    <xf numFmtId="0" fontId="26" fillId="0" borderId="0" xfId="0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 horizontal="center"/>
      <protection/>
    </xf>
    <xf numFmtId="0" fontId="4" fillId="34" borderId="0" xfId="58" applyFont="1" applyFill="1" applyProtection="1">
      <alignment/>
      <protection/>
    </xf>
    <xf numFmtId="0" fontId="5" fillId="0" borderId="21" xfId="59" applyFont="1" applyFill="1" applyBorder="1" applyAlignment="1" applyProtection="1">
      <alignment horizontal="center" vertical="center"/>
      <protection/>
    </xf>
    <xf numFmtId="0" fontId="5" fillId="0" borderId="0" xfId="59" applyFont="1" applyFill="1" applyBorder="1" applyAlignment="1" applyProtection="1">
      <alignment horizontal="center" vertical="center"/>
      <protection/>
    </xf>
    <xf numFmtId="0" fontId="5" fillId="33" borderId="10" xfId="58" applyFont="1" applyFill="1" applyBorder="1" applyAlignment="1" applyProtection="1">
      <alignment horizontal="center"/>
      <protection/>
    </xf>
    <xf numFmtId="0" fontId="5" fillId="33" borderId="11" xfId="58" applyFont="1" applyFill="1" applyBorder="1" applyProtection="1">
      <alignment/>
      <protection/>
    </xf>
    <xf numFmtId="0" fontId="4" fillId="33" borderId="16" xfId="58" applyFont="1" applyFill="1" applyBorder="1" applyProtection="1">
      <alignment/>
      <protection/>
    </xf>
    <xf numFmtId="0" fontId="4" fillId="33" borderId="11" xfId="58" applyFont="1" applyFill="1" applyBorder="1" applyProtection="1">
      <alignment/>
      <protection/>
    </xf>
    <xf numFmtId="3" fontId="13" fillId="33" borderId="10" xfId="58" applyNumberFormat="1" applyFont="1" applyFill="1" applyBorder="1" applyProtection="1">
      <alignment/>
      <protection/>
    </xf>
    <xf numFmtId="3" fontId="5" fillId="33" borderId="10" xfId="58" applyNumberFormat="1" applyFont="1" applyFill="1" applyBorder="1" applyAlignment="1" applyProtection="1">
      <alignment/>
      <protection/>
    </xf>
    <xf numFmtId="3" fontId="5" fillId="33" borderId="13" xfId="58" applyNumberFormat="1" applyFont="1" applyFill="1" applyBorder="1" applyAlignment="1" applyProtection="1">
      <alignment horizontal="right"/>
      <protection/>
    </xf>
    <xf numFmtId="176" fontId="5" fillId="0" borderId="0" xfId="58" applyNumberFormat="1" applyFont="1" applyFill="1" applyBorder="1" applyAlignment="1" applyProtection="1">
      <alignment horizontal="left" vertical="center"/>
      <protection/>
    </xf>
    <xf numFmtId="3" fontId="5" fillId="0" borderId="0" xfId="58" applyNumberFormat="1" applyFont="1" applyFill="1" applyBorder="1" applyAlignment="1" applyProtection="1">
      <alignment horizontal="right"/>
      <protection/>
    </xf>
    <xf numFmtId="176" fontId="5" fillId="33" borderId="17" xfId="58" applyNumberFormat="1" applyFont="1" applyFill="1" applyBorder="1" applyAlignment="1" applyProtection="1">
      <alignment vertical="center"/>
      <protection/>
    </xf>
    <xf numFmtId="0" fontId="12" fillId="0" borderId="0" xfId="58" applyFont="1" applyFill="1" applyBorder="1" applyProtection="1">
      <alignment/>
      <protection/>
    </xf>
    <xf numFmtId="0" fontId="4" fillId="0" borderId="0" xfId="58" applyFont="1" applyFill="1" applyBorder="1" applyProtection="1">
      <alignment/>
      <protection/>
    </xf>
    <xf numFmtId="176" fontId="4" fillId="0" borderId="0" xfId="58" applyNumberFormat="1" applyFont="1" applyFill="1" applyProtection="1">
      <alignment/>
      <protection/>
    </xf>
    <xf numFmtId="3" fontId="31" fillId="33" borderId="10" xfId="58" applyNumberFormat="1" applyFont="1" applyFill="1" applyBorder="1" applyProtection="1">
      <alignment/>
      <protection/>
    </xf>
    <xf numFmtId="0" fontId="10" fillId="33" borderId="11" xfId="58" applyFont="1" applyFill="1" applyBorder="1" applyAlignment="1" applyProtection="1">
      <alignment horizontal="center"/>
      <protection/>
    </xf>
    <xf numFmtId="0" fontId="10" fillId="33" borderId="16" xfId="58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fill"/>
      <protection/>
    </xf>
    <xf numFmtId="175" fontId="4" fillId="0" borderId="0" xfId="0" applyNumberFormat="1" applyFont="1" applyFill="1" applyAlignment="1" applyProtection="1">
      <alignment/>
      <protection/>
    </xf>
    <xf numFmtId="178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4" fillId="33" borderId="12" xfId="0" applyNumberFormat="1" applyFont="1" applyFill="1" applyBorder="1" applyAlignment="1" applyProtection="1">
      <alignment/>
      <protection/>
    </xf>
    <xf numFmtId="9" fontId="4" fillId="33" borderId="25" xfId="62" applyFont="1" applyFill="1" applyBorder="1" applyAlignment="1" applyProtection="1">
      <alignment horizontal="right" vertical="center"/>
      <protection/>
    </xf>
    <xf numFmtId="9" fontId="4" fillId="33" borderId="10" xfId="62" applyFont="1" applyFill="1" applyBorder="1" applyAlignment="1" applyProtection="1">
      <alignment horizontal="right" vertical="center"/>
      <protection/>
    </xf>
    <xf numFmtId="0" fontId="4" fillId="33" borderId="25" xfId="0" applyFont="1" applyFill="1" applyBorder="1" applyAlignment="1" applyProtection="1">
      <alignment/>
      <protection/>
    </xf>
    <xf numFmtId="3" fontId="4" fillId="33" borderId="16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/>
      <protection/>
    </xf>
    <xf numFmtId="3" fontId="4" fillId="33" borderId="20" xfId="0" applyNumberFormat="1" applyFont="1" applyFill="1" applyBorder="1" applyAlignment="1" applyProtection="1">
      <alignment/>
      <protection/>
    </xf>
    <xf numFmtId="9" fontId="4" fillId="33" borderId="26" xfId="62" applyFont="1" applyFill="1" applyBorder="1" applyAlignment="1" applyProtection="1">
      <alignment horizontal="right" vertical="center"/>
      <protection/>
    </xf>
    <xf numFmtId="9" fontId="4" fillId="33" borderId="0" xfId="62" applyFont="1" applyFill="1" applyBorder="1" applyAlignment="1" applyProtection="1">
      <alignment horizontal="right" vertical="center"/>
      <protection/>
    </xf>
    <xf numFmtId="0" fontId="4" fillId="33" borderId="26" xfId="0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19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 horizontal="left"/>
      <protection/>
    </xf>
    <xf numFmtId="3" fontId="8" fillId="0" borderId="0" xfId="62" applyNumberFormat="1" applyFont="1" applyFill="1" applyBorder="1" applyAlignment="1" applyProtection="1">
      <alignment/>
      <protection/>
    </xf>
    <xf numFmtId="176" fontId="4" fillId="34" borderId="0" xfId="0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4" fillId="33" borderId="23" xfId="0" applyFont="1" applyFill="1" applyBorder="1" applyAlignment="1" applyProtection="1">
      <alignment horizontal="left" indent="1"/>
      <protection/>
    </xf>
    <xf numFmtId="38" fontId="4" fillId="33" borderId="16" xfId="44" applyNumberFormat="1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left" indent="2"/>
      <protection/>
    </xf>
    <xf numFmtId="3" fontId="5" fillId="33" borderId="10" xfId="0" applyNumberFormat="1" applyFont="1" applyFill="1" applyBorder="1" applyAlignment="1" applyProtection="1">
      <alignment horizontal="center"/>
      <protection/>
    </xf>
    <xf numFmtId="38" fontId="4" fillId="33" borderId="27" xfId="44" applyNumberFormat="1" applyFont="1" applyFill="1" applyBorder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5" fillId="33" borderId="24" xfId="0" applyFont="1" applyFill="1" applyBorder="1" applyAlignment="1" applyProtection="1">
      <alignment horizontal="left" indent="1"/>
      <protection/>
    </xf>
    <xf numFmtId="0" fontId="4" fillId="0" borderId="28" xfId="0" applyFont="1" applyFill="1" applyBorder="1" applyAlignment="1" applyProtection="1">
      <alignment/>
      <protection/>
    </xf>
    <xf numFmtId="38" fontId="4" fillId="0" borderId="0" xfId="44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/>
      <protection/>
    </xf>
    <xf numFmtId="38" fontId="4" fillId="34" borderId="0" xfId="44" applyNumberFormat="1" applyFont="1" applyFill="1" applyBorder="1" applyAlignment="1" applyProtection="1">
      <alignment horizontal="center"/>
      <protection/>
    </xf>
    <xf numFmtId="176" fontId="4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38" fontId="4" fillId="34" borderId="0" xfId="44" applyNumberFormat="1" applyFont="1" applyFill="1" applyBorder="1" applyAlignment="1" applyProtection="1">
      <alignment/>
      <protection/>
    </xf>
    <xf numFmtId="176" fontId="5" fillId="34" borderId="0" xfId="0" applyNumberFormat="1" applyFont="1" applyFill="1" applyBorder="1" applyAlignment="1" applyProtection="1">
      <alignment/>
      <protection/>
    </xf>
    <xf numFmtId="176" fontId="18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left" indent="1"/>
      <protection/>
    </xf>
    <xf numFmtId="38" fontId="4" fillId="34" borderId="0" xfId="0" applyNumberFormat="1" applyFont="1" applyFill="1" applyBorder="1" applyAlignment="1" applyProtection="1">
      <alignment/>
      <protection/>
    </xf>
    <xf numFmtId="38" fontId="4" fillId="34" borderId="0" xfId="0" applyNumberFormat="1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3" fontId="4" fillId="33" borderId="10" xfId="62" applyNumberFormat="1" applyFont="1" applyFill="1" applyBorder="1" applyAlignment="1" applyProtection="1">
      <alignment horizontal="right" vertical="center"/>
      <protection/>
    </xf>
    <xf numFmtId="3" fontId="4" fillId="33" borderId="25" xfId="62" applyNumberFormat="1" applyFont="1" applyFill="1" applyBorder="1" applyAlignment="1" applyProtection="1">
      <alignment horizontal="right" vertical="center"/>
      <protection/>
    </xf>
    <xf numFmtId="3" fontId="4" fillId="33" borderId="15" xfId="62" applyNumberFormat="1" applyFont="1" applyFill="1" applyBorder="1" applyAlignment="1" applyProtection="1">
      <alignment horizontal="right" vertical="center"/>
      <protection/>
    </xf>
    <xf numFmtId="3" fontId="4" fillId="33" borderId="29" xfId="62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34" borderId="0" xfId="0" applyFont="1" applyFill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right" vertical="center"/>
      <protection/>
    </xf>
    <xf numFmtId="3" fontId="5" fillId="33" borderId="13" xfId="0" applyNumberFormat="1" applyFont="1" applyFill="1" applyBorder="1" applyAlignment="1" applyProtection="1">
      <alignment/>
      <protection/>
    </xf>
    <xf numFmtId="38" fontId="4" fillId="0" borderId="0" xfId="0" applyNumberFormat="1" applyFont="1" applyFill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right"/>
      <protection/>
    </xf>
    <xf numFmtId="0" fontId="32" fillId="34" borderId="0" xfId="0" applyFont="1" applyFill="1" applyAlignment="1" applyProtection="1">
      <alignment/>
      <protection/>
    </xf>
    <xf numFmtId="176" fontId="32" fillId="34" borderId="0" xfId="0" applyNumberFormat="1" applyFont="1" applyFill="1" applyAlignment="1" applyProtection="1">
      <alignment/>
      <protection/>
    </xf>
    <xf numFmtId="183" fontId="32" fillId="34" borderId="0" xfId="0" applyNumberFormat="1" applyFont="1" applyFill="1" applyAlignment="1" applyProtection="1">
      <alignment/>
      <protection/>
    </xf>
    <xf numFmtId="3" fontId="32" fillId="34" borderId="0" xfId="0" applyNumberFormat="1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40" fontId="4" fillId="0" borderId="0" xfId="42" applyNumberFormat="1" applyFont="1" applyFill="1" applyAlignment="1" applyProtection="1">
      <alignment/>
      <protection/>
    </xf>
    <xf numFmtId="3" fontId="5" fillId="33" borderId="10" xfId="62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3" fontId="5" fillId="0" borderId="0" xfId="62" applyNumberFormat="1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vertical="center" wrapText="1"/>
      <protection/>
    </xf>
    <xf numFmtId="10" fontId="4" fillId="33" borderId="1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3" fontId="4" fillId="33" borderId="10" xfId="0" applyNumberFormat="1" applyFont="1" applyFill="1" applyBorder="1" applyAlignment="1" applyProtection="1">
      <alignment vertical="center" wrapText="1"/>
      <protection/>
    </xf>
    <xf numFmtId="177" fontId="4" fillId="33" borderId="1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0" fontId="21" fillId="0" borderId="0" xfId="42" applyNumberFormat="1" applyFont="1" applyFill="1" applyAlignment="1" applyProtection="1">
      <alignment/>
      <protection/>
    </xf>
    <xf numFmtId="40" fontId="21" fillId="0" borderId="0" xfId="42" applyNumberFormat="1" applyFont="1" applyFill="1" applyBorder="1" applyAlignment="1" applyProtection="1">
      <alignment/>
      <protection/>
    </xf>
    <xf numFmtId="40" fontId="4" fillId="0" borderId="0" xfId="42" applyNumberFormat="1" applyFont="1" applyFill="1" applyBorder="1" applyAlignment="1" applyProtection="1">
      <alignment horizontal="right"/>
      <protection/>
    </xf>
    <xf numFmtId="40" fontId="21" fillId="0" borderId="0" xfId="42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/>
      <protection/>
    </xf>
    <xf numFmtId="10" fontId="5" fillId="33" borderId="10" xfId="62" applyNumberFormat="1" applyFont="1" applyFill="1" applyBorder="1" applyAlignment="1" applyProtection="1">
      <alignment horizontal="right" vertical="center"/>
      <protection/>
    </xf>
    <xf numFmtId="40" fontId="4" fillId="0" borderId="0" xfId="42" applyNumberFormat="1" applyFont="1" applyFill="1" applyBorder="1" applyAlignment="1" applyProtection="1">
      <alignment horizontal="left"/>
      <protection/>
    </xf>
    <xf numFmtId="3" fontId="5" fillId="33" borderId="10" xfId="62" applyNumberFormat="1" applyFont="1" applyFill="1" applyBorder="1" applyAlignment="1" applyProtection="1">
      <alignment horizontal="left" vertical="center"/>
      <protection/>
    </xf>
    <xf numFmtId="10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177" fontId="4" fillId="0" borderId="0" xfId="0" applyNumberFormat="1" applyFont="1" applyFill="1" applyAlignment="1" applyProtection="1">
      <alignment/>
      <protection/>
    </xf>
    <xf numFmtId="40" fontId="4" fillId="34" borderId="0" xfId="42" applyNumberFormat="1" applyFont="1" applyFill="1" applyAlignment="1" applyProtection="1">
      <alignment/>
      <protection/>
    </xf>
    <xf numFmtId="40" fontId="4" fillId="34" borderId="0" xfId="42" applyNumberFormat="1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right"/>
      <protection locked="0"/>
    </xf>
    <xf numFmtId="176" fontId="31" fillId="34" borderId="0" xfId="0" applyNumberFormat="1" applyFont="1" applyFill="1" applyAlignment="1" applyProtection="1">
      <alignment/>
      <protection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5" fillId="37" borderId="10" xfId="0" applyNumberFormat="1" applyFont="1" applyFill="1" applyBorder="1" applyAlignment="1" applyProtection="1">
      <alignment vertical="center"/>
      <protection locked="0"/>
    </xf>
    <xf numFmtId="176" fontId="13" fillId="37" borderId="10" xfId="0" applyNumberFormat="1" applyFont="1" applyFill="1" applyBorder="1" applyAlignment="1" applyProtection="1">
      <alignment vertical="center"/>
      <protection locked="0"/>
    </xf>
    <xf numFmtId="176" fontId="4" fillId="37" borderId="10" xfId="0" applyNumberFormat="1" applyFont="1" applyFill="1" applyBorder="1" applyAlignment="1" applyProtection="1">
      <alignment vertical="center"/>
      <protection locked="0"/>
    </xf>
    <xf numFmtId="9" fontId="13" fillId="37" borderId="10" xfId="62" applyFont="1" applyFill="1" applyBorder="1" applyAlignment="1" applyProtection="1">
      <alignment vertical="center"/>
      <protection locked="0"/>
    </xf>
    <xf numFmtId="10" fontId="13" fillId="37" borderId="10" xfId="62" applyNumberFormat="1" applyFont="1" applyFill="1" applyBorder="1" applyAlignment="1" applyProtection="1">
      <alignment vertical="center"/>
      <protection locked="0"/>
    </xf>
    <xf numFmtId="179" fontId="13" fillId="37" borderId="10" xfId="0" applyNumberFormat="1" applyFont="1" applyFill="1" applyBorder="1" applyAlignment="1" applyProtection="1">
      <alignment vertical="center"/>
      <protection locked="0"/>
    </xf>
    <xf numFmtId="179" fontId="4" fillId="37" borderId="10" xfId="0" applyNumberFormat="1" applyFont="1" applyFill="1" applyBorder="1" applyAlignment="1" applyProtection="1">
      <alignment vertical="center"/>
      <protection locked="0"/>
    </xf>
    <xf numFmtId="167" fontId="4" fillId="0" borderId="0" xfId="0" applyNumberFormat="1" applyFont="1" applyFill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3" fontId="5" fillId="33" borderId="10" xfId="62" applyNumberFormat="1" applyFont="1" applyFill="1" applyBorder="1" applyAlignment="1" applyProtection="1">
      <alignment horizontal="right" vertical="center"/>
      <protection locked="0"/>
    </xf>
    <xf numFmtId="40" fontId="21" fillId="0" borderId="0" xfId="42" applyNumberFormat="1" applyFont="1" applyFill="1" applyBorder="1" applyAlignment="1" applyProtection="1">
      <alignment/>
      <protection locked="0"/>
    </xf>
    <xf numFmtId="40" fontId="4" fillId="0" borderId="0" xfId="42" applyNumberFormat="1" applyFont="1" applyFill="1" applyAlignment="1" applyProtection="1">
      <alignment/>
      <protection locked="0"/>
    </xf>
    <xf numFmtId="40" fontId="4" fillId="0" borderId="0" xfId="42" applyNumberFormat="1" applyFont="1" applyFill="1" applyBorder="1" applyAlignment="1" applyProtection="1">
      <alignment horizontal="right"/>
      <protection locked="0"/>
    </xf>
    <xf numFmtId="40" fontId="21" fillId="0" borderId="0" xfId="42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 horizontal="center"/>
      <protection/>
    </xf>
    <xf numFmtId="9" fontId="4" fillId="33" borderId="24" xfId="62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/>
      <protection/>
    </xf>
    <xf numFmtId="10" fontId="4" fillId="0" borderId="10" xfId="0" applyNumberFormat="1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left"/>
      <protection/>
    </xf>
    <xf numFmtId="0" fontId="5" fillId="34" borderId="30" xfId="0" applyFont="1" applyFill="1" applyBorder="1" applyAlignment="1" applyProtection="1">
      <alignment/>
      <protection/>
    </xf>
    <xf numFmtId="0" fontId="4" fillId="34" borderId="30" xfId="0" applyFont="1" applyFill="1" applyBorder="1" applyAlignment="1" applyProtection="1">
      <alignment horizontal="left" indent="1"/>
      <protection/>
    </xf>
    <xf numFmtId="0" fontId="4" fillId="34" borderId="31" xfId="0" applyFont="1" applyFill="1" applyBorder="1" applyAlignment="1" applyProtection="1">
      <alignment/>
      <protection/>
    </xf>
    <xf numFmtId="3" fontId="5" fillId="34" borderId="32" xfId="0" applyNumberFormat="1" applyFont="1" applyFill="1" applyBorder="1" applyAlignment="1" applyProtection="1">
      <alignment/>
      <protection/>
    </xf>
    <xf numFmtId="4" fontId="4" fillId="34" borderId="32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38" fontId="4" fillId="33" borderId="10" xfId="0" applyNumberFormat="1" applyFont="1" applyFill="1" applyBorder="1" applyAlignment="1" applyProtection="1">
      <alignment horizontal="righ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4" fillId="33" borderId="11" xfId="58" applyFont="1" applyFill="1" applyBorder="1" applyAlignment="1" applyProtection="1">
      <alignment horizontal="left" indent="1"/>
      <protection/>
    </xf>
    <xf numFmtId="38" fontId="4" fillId="33" borderId="10" xfId="0" applyNumberFormat="1" applyFont="1" applyFill="1" applyBorder="1" applyAlignment="1" applyProtection="1">
      <alignment horizontal="left" indent="1"/>
      <protection/>
    </xf>
    <xf numFmtId="38" fontId="4" fillId="33" borderId="10" xfId="0" applyNumberFormat="1" applyFont="1" applyFill="1" applyBorder="1" applyAlignment="1" applyProtection="1">
      <alignment horizontal="left"/>
      <protection/>
    </xf>
    <xf numFmtId="3" fontId="34" fillId="33" borderId="10" xfId="58" applyNumberFormat="1" applyFont="1" applyFill="1" applyBorder="1" applyAlignment="1" applyProtection="1">
      <alignment horizontal="right"/>
      <protection/>
    </xf>
    <xf numFmtId="3" fontId="31" fillId="33" borderId="10" xfId="58" applyNumberFormat="1" applyFont="1" applyFill="1" applyBorder="1" applyAlignment="1" applyProtection="1">
      <alignment horizontal="right"/>
      <protection/>
    </xf>
    <xf numFmtId="3" fontId="34" fillId="33" borderId="10" xfId="58" applyNumberFormat="1" applyFont="1" applyFill="1" applyBorder="1" applyProtection="1">
      <alignment/>
      <protection/>
    </xf>
    <xf numFmtId="3" fontId="5" fillId="33" borderId="10" xfId="58" applyNumberFormat="1" applyFont="1" applyFill="1" applyBorder="1" applyAlignment="1" applyProtection="1">
      <alignment horizontal="right"/>
      <protection/>
    </xf>
    <xf numFmtId="3" fontId="34" fillId="33" borderId="10" xfId="58" applyNumberFormat="1" applyFont="1" applyFill="1" applyBorder="1" applyAlignment="1" applyProtection="1">
      <alignment horizontal="center"/>
      <protection/>
    </xf>
    <xf numFmtId="3" fontId="34" fillId="33" borderId="10" xfId="58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33" borderId="23" xfId="58" applyFont="1" applyFill="1" applyBorder="1" applyProtection="1">
      <alignment/>
      <protection/>
    </xf>
    <xf numFmtId="0" fontId="4" fillId="33" borderId="27" xfId="58" applyFont="1" applyFill="1" applyBorder="1" applyProtection="1">
      <alignment/>
      <protection/>
    </xf>
    <xf numFmtId="176" fontId="35" fillId="33" borderId="10" xfId="58" applyNumberFormat="1" applyFont="1" applyFill="1" applyBorder="1" applyProtection="1">
      <alignment/>
      <protection/>
    </xf>
    <xf numFmtId="10" fontId="21" fillId="0" borderId="10" xfId="62" applyNumberFormat="1" applyFont="1" applyFill="1" applyBorder="1" applyAlignment="1" applyProtection="1">
      <alignment/>
      <protection locked="0"/>
    </xf>
    <xf numFmtId="10" fontId="21" fillId="33" borderId="10" xfId="62" applyNumberFormat="1" applyFont="1" applyFill="1" applyBorder="1" applyAlignment="1" applyProtection="1">
      <alignment/>
      <protection/>
    </xf>
    <xf numFmtId="187" fontId="21" fillId="0" borderId="10" xfId="62" applyNumberFormat="1" applyFont="1" applyFill="1" applyBorder="1" applyAlignment="1" applyProtection="1">
      <alignment/>
      <protection locked="0"/>
    </xf>
    <xf numFmtId="176" fontId="31" fillId="0" borderId="0" xfId="58" applyNumberFormat="1" applyFont="1" applyFill="1" applyProtection="1">
      <alignment/>
      <protection/>
    </xf>
    <xf numFmtId="176" fontId="8" fillId="33" borderId="12" xfId="58" applyNumberFormat="1" applyFont="1" applyFill="1" applyBorder="1" applyProtection="1">
      <alignment/>
      <protection/>
    </xf>
    <xf numFmtId="176" fontId="4" fillId="33" borderId="25" xfId="58" applyNumberFormat="1" applyFont="1" applyFill="1" applyBorder="1" applyProtection="1">
      <alignment/>
      <protection/>
    </xf>
    <xf numFmtId="176" fontId="5" fillId="33" borderId="10" xfId="58" applyNumberFormat="1" applyFont="1" applyFill="1" applyBorder="1" applyAlignment="1" applyProtection="1">
      <alignment/>
      <protection/>
    </xf>
    <xf numFmtId="0" fontId="5" fillId="33" borderId="26" xfId="58" applyFont="1" applyFill="1" applyBorder="1" applyProtection="1">
      <alignment/>
      <protection/>
    </xf>
    <xf numFmtId="0" fontId="5" fillId="33" borderId="14" xfId="58" applyFont="1" applyFill="1" applyBorder="1" applyProtection="1">
      <alignment/>
      <protection/>
    </xf>
    <xf numFmtId="176" fontId="5" fillId="0" borderId="0" xfId="58" applyNumberFormat="1" applyFont="1" applyFill="1" applyBorder="1" applyAlignment="1" applyProtection="1">
      <alignment/>
      <protection/>
    </xf>
    <xf numFmtId="176" fontId="4" fillId="33" borderId="12" xfId="58" applyNumberFormat="1" applyFont="1" applyFill="1" applyBorder="1" applyProtection="1">
      <alignment/>
      <protection/>
    </xf>
    <xf numFmtId="0" fontId="4" fillId="33" borderId="14" xfId="0" applyFont="1" applyFill="1" applyBorder="1" applyAlignment="1" applyProtection="1">
      <alignment horizontal="left" indent="1"/>
      <protection/>
    </xf>
    <xf numFmtId="176" fontId="4" fillId="33" borderId="12" xfId="0" applyNumberFormat="1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 indent="1"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 applyProtection="1">
      <alignment horizontal="center"/>
      <protection locked="0"/>
    </xf>
    <xf numFmtId="38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1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3" fontId="5" fillId="33" borderId="10" xfId="0" applyNumberFormat="1" applyFont="1" applyFill="1" applyBorder="1" applyAlignment="1" applyProtection="1">
      <alignment horizontal="right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33" xfId="0" applyFont="1" applyFill="1" applyBorder="1" applyAlignment="1" applyProtection="1">
      <alignment horizontal="center"/>
      <protection/>
    </xf>
    <xf numFmtId="0" fontId="5" fillId="33" borderId="34" xfId="0" applyFont="1" applyFill="1" applyBorder="1" applyAlignment="1" applyProtection="1">
      <alignment horizontal="center"/>
      <protection/>
    </xf>
    <xf numFmtId="0" fontId="5" fillId="33" borderId="35" xfId="0" applyFont="1" applyFill="1" applyBorder="1" applyAlignment="1" applyProtection="1">
      <alignment horizontal="center"/>
      <protection/>
    </xf>
    <xf numFmtId="3" fontId="4" fillId="33" borderId="36" xfId="62" applyNumberFormat="1" applyFont="1" applyFill="1" applyBorder="1" applyAlignment="1" applyProtection="1">
      <alignment horizontal="right" vertical="center"/>
      <protection/>
    </xf>
    <xf numFmtId="9" fontId="4" fillId="33" borderId="36" xfId="62" applyFont="1" applyFill="1" applyBorder="1" applyAlignment="1" applyProtection="1">
      <alignment horizontal="right" vertical="center"/>
      <protection/>
    </xf>
    <xf numFmtId="9" fontId="4" fillId="33" borderId="37" xfId="62" applyFont="1" applyFill="1" applyBorder="1" applyAlignment="1" applyProtection="1">
      <alignment horizontal="right" vertical="center"/>
      <protection/>
    </xf>
    <xf numFmtId="9" fontId="4" fillId="33" borderId="38" xfId="62" applyFont="1" applyFill="1" applyBorder="1" applyAlignment="1" applyProtection="1">
      <alignment horizontal="right" vertical="center"/>
      <protection/>
    </xf>
    <xf numFmtId="4" fontId="4" fillId="33" borderId="36" xfId="0" applyNumberFormat="1" applyFont="1" applyFill="1" applyBorder="1" applyAlignment="1" applyProtection="1">
      <alignment horizontal="right" vertical="center"/>
      <protection/>
    </xf>
    <xf numFmtId="4" fontId="4" fillId="33" borderId="37" xfId="0" applyNumberFormat="1" applyFont="1" applyFill="1" applyBorder="1" applyAlignment="1" applyProtection="1">
      <alignment horizontal="right" vertical="center"/>
      <protection/>
    </xf>
    <xf numFmtId="4" fontId="4" fillId="33" borderId="38" xfId="0" applyNumberFormat="1" applyFont="1" applyFill="1" applyBorder="1" applyAlignment="1" applyProtection="1">
      <alignment horizontal="right" vertical="center"/>
      <protection/>
    </xf>
    <xf numFmtId="0" fontId="5" fillId="33" borderId="39" xfId="0" applyFont="1" applyFill="1" applyBorder="1" applyAlignment="1" applyProtection="1">
      <alignment horizontal="center"/>
      <protection/>
    </xf>
    <xf numFmtId="0" fontId="5" fillId="33" borderId="40" xfId="0" applyFont="1" applyFill="1" applyBorder="1" applyAlignment="1" applyProtection="1">
      <alignment horizontal="center"/>
      <protection/>
    </xf>
    <xf numFmtId="9" fontId="4" fillId="33" borderId="41" xfId="62" applyFont="1" applyFill="1" applyBorder="1" applyAlignment="1" applyProtection="1">
      <alignment horizontal="right" vertical="center"/>
      <protection/>
    </xf>
    <xf numFmtId="9" fontId="4" fillId="33" borderId="42" xfId="62" applyFont="1" applyFill="1" applyBorder="1" applyAlignment="1" applyProtection="1">
      <alignment horizontal="right" vertical="center"/>
      <protection/>
    </xf>
    <xf numFmtId="9" fontId="4" fillId="33" borderId="43" xfId="62" applyFont="1" applyFill="1" applyBorder="1" applyAlignment="1" applyProtection="1">
      <alignment horizontal="right" vertical="center"/>
      <protection/>
    </xf>
    <xf numFmtId="0" fontId="4" fillId="33" borderId="44" xfId="0" applyFont="1" applyFill="1" applyBorder="1" applyAlignment="1" applyProtection="1">
      <alignment horizontal="left"/>
      <protection/>
    </xf>
    <xf numFmtId="176" fontId="5" fillId="33" borderId="2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4" fontId="13" fillId="0" borderId="10" xfId="0" applyNumberFormat="1" applyFont="1" applyFill="1" applyBorder="1" applyAlignment="1" applyProtection="1">
      <alignment/>
      <protection locked="0"/>
    </xf>
    <xf numFmtId="4" fontId="13" fillId="33" borderId="10" xfId="62" applyNumberFormat="1" applyFont="1" applyFill="1" applyBorder="1" applyAlignment="1" applyProtection="1">
      <alignment horizontal="center" vertical="center"/>
      <protection/>
    </xf>
    <xf numFmtId="4" fontId="5" fillId="33" borderId="13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4" fontId="5" fillId="33" borderId="24" xfId="0" applyNumberFormat="1" applyFont="1" applyFill="1" applyBorder="1" applyAlignment="1" applyProtection="1">
      <alignment vertical="center"/>
      <protection/>
    </xf>
    <xf numFmtId="4" fontId="4" fillId="33" borderId="13" xfId="0" applyNumberFormat="1" applyFont="1" applyFill="1" applyBorder="1" applyAlignment="1" applyProtection="1">
      <alignment vertical="center"/>
      <protection/>
    </xf>
    <xf numFmtId="4" fontId="5" fillId="33" borderId="13" xfId="0" applyNumberFormat="1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horizontal="left"/>
      <protection/>
    </xf>
    <xf numFmtId="0" fontId="5" fillId="33" borderId="23" xfId="0" applyFont="1" applyFill="1" applyBorder="1" applyAlignment="1" applyProtection="1">
      <alignment/>
      <protection/>
    </xf>
    <xf numFmtId="179" fontId="4" fillId="37" borderId="10" xfId="0" applyNumberFormat="1" applyFont="1" applyFill="1" applyBorder="1" applyAlignment="1" applyProtection="1">
      <alignment horizontal="right"/>
      <protection/>
    </xf>
    <xf numFmtId="179" fontId="5" fillId="37" borderId="10" xfId="0" applyNumberFormat="1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right" vertical="center" wrapText="1"/>
      <protection/>
    </xf>
    <xf numFmtId="176" fontId="5" fillId="33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5" fillId="33" borderId="13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4" fontId="13" fillId="33" borderId="10" xfId="62" applyNumberFormat="1" applyFont="1" applyFill="1" applyBorder="1" applyAlignment="1" applyProtection="1">
      <alignment horizontal="center" vertical="center"/>
      <protection locked="0"/>
    </xf>
    <xf numFmtId="38" fontId="4" fillId="33" borderId="11" xfId="0" applyNumberFormat="1" applyFont="1" applyFill="1" applyBorder="1" applyAlignment="1" applyProtection="1">
      <alignment horizontal="left" indent="1"/>
      <protection/>
    </xf>
    <xf numFmtId="3" fontId="13" fillId="0" borderId="10" xfId="62" applyNumberFormat="1" applyFont="1" applyFill="1" applyBorder="1" applyAlignment="1" applyProtection="1">
      <alignment horizontal="center"/>
      <protection locked="0"/>
    </xf>
    <xf numFmtId="0" fontId="4" fillId="33" borderId="11" xfId="58" applyFont="1" applyFill="1" applyBorder="1" applyAlignment="1" applyProtection="1">
      <alignment horizontal="left"/>
      <protection/>
    </xf>
    <xf numFmtId="1" fontId="4" fillId="33" borderId="10" xfId="62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 locked="0"/>
    </xf>
    <xf numFmtId="0" fontId="5" fillId="34" borderId="45" xfId="0" applyFont="1" applyFill="1" applyBorder="1" applyAlignment="1" applyProtection="1">
      <alignment horizontal="center"/>
      <protection/>
    </xf>
    <xf numFmtId="3" fontId="4" fillId="34" borderId="45" xfId="0" applyNumberFormat="1" applyFont="1" applyFill="1" applyBorder="1" applyAlignment="1" applyProtection="1">
      <alignment horizontal="center"/>
      <protection/>
    </xf>
    <xf numFmtId="0" fontId="4" fillId="34" borderId="45" xfId="0" applyFont="1" applyFill="1" applyBorder="1" applyAlignment="1" applyProtection="1">
      <alignment horizontal="center"/>
      <protection/>
    </xf>
    <xf numFmtId="180" fontId="4" fillId="34" borderId="45" xfId="0" applyNumberFormat="1" applyFont="1" applyFill="1" applyBorder="1" applyAlignment="1" applyProtection="1">
      <alignment horizontal="center"/>
      <protection/>
    </xf>
    <xf numFmtId="178" fontId="4" fillId="34" borderId="45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 locked="0"/>
    </xf>
    <xf numFmtId="1" fontId="4" fillId="34" borderId="45" xfId="0" applyNumberFormat="1" applyFont="1" applyFill="1" applyBorder="1" applyAlignment="1" applyProtection="1">
      <alignment horizontal="center"/>
      <protection/>
    </xf>
    <xf numFmtId="3" fontId="5" fillId="12" borderId="10" xfId="62" applyNumberFormat="1" applyFont="1" applyFill="1" applyBorder="1" applyAlignment="1" applyProtection="1">
      <alignment horizontal="right" vertical="center"/>
      <protection locked="0"/>
    </xf>
    <xf numFmtId="10" fontId="4" fillId="12" borderId="10" xfId="0" applyNumberFormat="1" applyFont="1" applyFill="1" applyBorder="1" applyAlignment="1" applyProtection="1">
      <alignment vertical="center" wrapText="1"/>
      <protection locked="0"/>
    </xf>
    <xf numFmtId="185" fontId="85" fillId="0" borderId="45" xfId="0" applyNumberFormat="1" applyFont="1" applyFill="1" applyBorder="1" applyAlignment="1" applyProtection="1">
      <alignment/>
      <protection/>
    </xf>
    <xf numFmtId="185" fontId="86" fillId="0" borderId="45" xfId="0" applyNumberFormat="1" applyFont="1" applyFill="1" applyBorder="1" applyAlignment="1" applyProtection="1">
      <alignment/>
      <protection/>
    </xf>
    <xf numFmtId="0" fontId="87" fillId="0" borderId="0" xfId="0" applyFont="1" applyFill="1" applyAlignment="1" applyProtection="1">
      <alignment/>
      <protection/>
    </xf>
    <xf numFmtId="4" fontId="4" fillId="33" borderId="10" xfId="0" applyNumberFormat="1" applyFont="1" applyFill="1" applyBorder="1" applyAlignment="1" applyProtection="1">
      <alignment vertical="center" wrapText="1"/>
      <protection/>
    </xf>
    <xf numFmtId="3" fontId="5" fillId="33" borderId="10" xfId="62" applyNumberFormat="1" applyFont="1" applyFill="1" applyBorder="1" applyAlignment="1" applyProtection="1">
      <alignment horizontal="center" vertical="center"/>
      <protection/>
    </xf>
    <xf numFmtId="177" fontId="4" fillId="33" borderId="10" xfId="0" applyNumberFormat="1" applyFont="1" applyFill="1" applyBorder="1" applyAlignment="1" applyProtection="1" quotePrefix="1">
      <alignment horizontal="center"/>
      <protection/>
    </xf>
    <xf numFmtId="177" fontId="5" fillId="33" borderId="10" xfId="0" applyNumberFormat="1" applyFont="1" applyFill="1" applyBorder="1" applyAlignment="1" applyProtection="1" quotePrefix="1">
      <alignment horizontal="center"/>
      <protection/>
    </xf>
    <xf numFmtId="9" fontId="87" fillId="0" borderId="0" xfId="62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/>
    </xf>
    <xf numFmtId="3" fontId="5" fillId="38" borderId="10" xfId="62" applyNumberFormat="1" applyFont="1" applyFill="1" applyBorder="1" applyAlignment="1" applyProtection="1">
      <alignment horizontal="center" vertical="center"/>
      <protection locked="0"/>
    </xf>
    <xf numFmtId="10" fontId="5" fillId="38" borderId="10" xfId="62" applyNumberFormat="1" applyFont="1" applyFill="1" applyBorder="1" applyAlignment="1" applyProtection="1">
      <alignment horizontal="center" vertical="center"/>
      <protection/>
    </xf>
    <xf numFmtId="3" fontId="5" fillId="38" borderId="10" xfId="62" applyNumberFormat="1" applyFont="1" applyFill="1" applyBorder="1" applyAlignment="1" applyProtection="1">
      <alignment horizontal="center" vertical="center"/>
      <protection/>
    </xf>
    <xf numFmtId="0" fontId="4" fillId="39" borderId="0" xfId="0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/>
      <protection locked="0"/>
    </xf>
    <xf numFmtId="0" fontId="4" fillId="33" borderId="20" xfId="58" applyFont="1" applyFill="1" applyBorder="1" applyProtection="1">
      <alignment/>
      <protection/>
    </xf>
    <xf numFmtId="3" fontId="4" fillId="33" borderId="29" xfId="58" applyNumberFormat="1" applyFont="1" applyFill="1" applyBorder="1" applyAlignment="1" applyProtection="1">
      <alignment/>
      <protection/>
    </xf>
    <xf numFmtId="0" fontId="4" fillId="33" borderId="46" xfId="58" applyFont="1" applyFill="1" applyBorder="1" applyAlignment="1" applyProtection="1">
      <alignment horizontal="left" indent="2"/>
      <protection/>
    </xf>
    <xf numFmtId="10" fontId="4" fillId="33" borderId="46" xfId="63" applyNumberFormat="1" applyFont="1" applyFill="1" applyBorder="1" applyAlignment="1" applyProtection="1">
      <alignment/>
      <protection/>
    </xf>
    <xf numFmtId="176" fontId="4" fillId="33" borderId="46" xfId="58" applyNumberFormat="1" applyFont="1" applyFill="1" applyBorder="1" applyProtection="1">
      <alignment/>
      <protection/>
    </xf>
    <xf numFmtId="0" fontId="4" fillId="33" borderId="46" xfId="58" applyFont="1" applyFill="1" applyBorder="1" applyProtection="1">
      <alignment/>
      <protection/>
    </xf>
    <xf numFmtId="3" fontId="4" fillId="33" borderId="46" xfId="58" applyNumberFormat="1" applyFont="1" applyFill="1" applyBorder="1" applyAlignment="1" applyProtection="1">
      <alignment/>
      <protection/>
    </xf>
    <xf numFmtId="0" fontId="5" fillId="33" borderId="46" xfId="58" applyFont="1" applyFill="1" applyBorder="1" applyProtection="1">
      <alignment/>
      <protection/>
    </xf>
    <xf numFmtId="176" fontId="8" fillId="33" borderId="46" xfId="58" applyNumberFormat="1" applyFont="1" applyFill="1" applyBorder="1" applyProtection="1">
      <alignment/>
      <protection/>
    </xf>
    <xf numFmtId="3" fontId="4" fillId="38" borderId="10" xfId="62" applyNumberFormat="1" applyFont="1" applyFill="1" applyBorder="1" applyAlignment="1" applyProtection="1">
      <alignment horizontal="right" vertical="center"/>
      <protection locked="0"/>
    </xf>
    <xf numFmtId="176" fontId="4" fillId="33" borderId="46" xfId="58" applyNumberFormat="1" applyFont="1" applyFill="1" applyBorder="1" applyProtection="1" quotePrefix="1">
      <alignment/>
      <protection/>
    </xf>
    <xf numFmtId="0" fontId="1" fillId="34" borderId="0" xfId="57" applyFont="1" applyFill="1" applyProtection="1">
      <alignment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10" fontId="13" fillId="0" borderId="10" xfId="0" applyNumberFormat="1" applyFont="1" applyFill="1" applyBorder="1" applyAlignment="1" applyProtection="1">
      <alignment horizontal="center"/>
      <protection locked="0"/>
    </xf>
    <xf numFmtId="10" fontId="13" fillId="6" borderId="10" xfId="0" applyNumberFormat="1" applyFont="1" applyFill="1" applyBorder="1" applyAlignment="1" applyProtection="1">
      <alignment horizontal="center"/>
      <protection locked="0"/>
    </xf>
    <xf numFmtId="10" fontId="13" fillId="0" borderId="11" xfId="0" applyNumberFormat="1" applyFont="1" applyFill="1" applyBorder="1" applyAlignment="1" applyProtection="1">
      <alignment horizontal="center"/>
      <protection locked="0"/>
    </xf>
    <xf numFmtId="2" fontId="13" fillId="0" borderId="11" xfId="0" applyNumberFormat="1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Alignment="1" applyProtection="1">
      <alignment horizontal="center"/>
      <protection hidden="1"/>
    </xf>
    <xf numFmtId="175" fontId="13" fillId="0" borderId="10" xfId="0" applyNumberFormat="1" applyFont="1" applyFill="1" applyBorder="1" applyAlignment="1" applyProtection="1">
      <alignment horizontal="center"/>
      <protection locked="0"/>
    </xf>
    <xf numFmtId="10" fontId="13" fillId="33" borderId="13" xfId="62" applyNumberFormat="1" applyFont="1" applyFill="1" applyBorder="1" applyAlignment="1" applyProtection="1">
      <alignment horizontal="center" vertical="center"/>
      <protection/>
    </xf>
    <xf numFmtId="10" fontId="13" fillId="0" borderId="13" xfId="62" applyNumberFormat="1" applyFont="1" applyFill="1" applyBorder="1" applyAlignment="1" applyProtection="1">
      <alignment horizontal="center" vertical="center"/>
      <protection locked="0"/>
    </xf>
    <xf numFmtId="175" fontId="13" fillId="0" borderId="10" xfId="0" applyNumberFormat="1" applyFont="1" applyFill="1" applyBorder="1" applyAlignment="1" applyProtection="1">
      <alignment/>
      <protection locked="0"/>
    </xf>
    <xf numFmtId="175" fontId="13" fillId="33" borderId="10" xfId="62" applyNumberFormat="1" applyFont="1" applyFill="1" applyBorder="1" applyAlignment="1" applyProtection="1">
      <alignment horizontal="center" vertical="center"/>
      <protection/>
    </xf>
    <xf numFmtId="175" fontId="13" fillId="33" borderId="10" xfId="0" applyNumberFormat="1" applyFont="1" applyFill="1" applyBorder="1" applyAlignment="1" applyProtection="1">
      <alignment/>
      <protection/>
    </xf>
    <xf numFmtId="10" fontId="13" fillId="0" borderId="10" xfId="62" applyNumberFormat="1" applyFont="1" applyFill="1" applyBorder="1" applyAlignment="1" applyProtection="1">
      <alignment horizontal="center"/>
      <protection locked="0"/>
    </xf>
    <xf numFmtId="2" fontId="4" fillId="0" borderId="45" xfId="0" applyNumberFormat="1" applyFont="1" applyFill="1" applyBorder="1" applyAlignment="1" applyProtection="1">
      <alignment horizontal="center"/>
      <protection locked="0"/>
    </xf>
    <xf numFmtId="10" fontId="33" fillId="0" borderId="45" xfId="0" applyNumberFormat="1" applyFont="1" applyFill="1" applyBorder="1" applyAlignment="1" applyProtection="1">
      <alignment horizontal="center"/>
      <protection locked="0"/>
    </xf>
    <xf numFmtId="0" fontId="88" fillId="2" borderId="0" xfId="0" applyFont="1" applyFill="1" applyBorder="1" applyAlignment="1" applyProtection="1">
      <alignment/>
      <protection/>
    </xf>
    <xf numFmtId="3" fontId="5" fillId="2" borderId="45" xfId="62" applyNumberFormat="1" applyFont="1" applyFill="1" applyBorder="1" applyAlignment="1" applyProtection="1">
      <alignment horizontal="center" vertical="center"/>
      <protection/>
    </xf>
    <xf numFmtId="0" fontId="87" fillId="38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justify" vertical="center" wrapText="1"/>
      <protection hidden="1"/>
    </xf>
    <xf numFmtId="180" fontId="13" fillId="2" borderId="16" xfId="0" applyNumberFormat="1" applyFont="1" applyFill="1" applyBorder="1" applyAlignment="1" applyProtection="1">
      <alignment horizontal="center"/>
      <protection hidden="1"/>
    </xf>
    <xf numFmtId="0" fontId="13" fillId="40" borderId="10" xfId="0" applyFont="1" applyFill="1" applyBorder="1" applyAlignment="1" applyProtection="1">
      <alignment horizontal="center"/>
      <protection locked="0"/>
    </xf>
    <xf numFmtId="1" fontId="13" fillId="0" borderId="16" xfId="0" applyNumberFormat="1" applyFont="1" applyFill="1" applyBorder="1" applyAlignment="1" applyProtection="1">
      <alignment horizontal="center"/>
      <protection hidden="1"/>
    </xf>
    <xf numFmtId="2" fontId="88" fillId="0" borderId="0" xfId="62" applyNumberFormat="1" applyFont="1" applyFill="1" applyAlignment="1" applyProtection="1">
      <alignment/>
      <protection hidden="1"/>
    </xf>
    <xf numFmtId="0" fontId="89" fillId="0" borderId="47" xfId="0" applyFont="1" applyBorder="1" applyAlignment="1">
      <alignment horizontal="center" wrapText="1"/>
    </xf>
    <xf numFmtId="0" fontId="90" fillId="41" borderId="0" xfId="0" applyFont="1" applyFill="1" applyAlignment="1">
      <alignment horizontal="center"/>
    </xf>
    <xf numFmtId="0" fontId="91" fillId="41" borderId="0" xfId="0" applyFont="1" applyFill="1" applyAlignment="1" applyProtection="1">
      <alignment horizontal="center" vertical="center" wrapText="1"/>
      <protection locked="0"/>
    </xf>
    <xf numFmtId="0" fontId="92" fillId="41" borderId="0" xfId="0" applyFont="1" applyFill="1" applyAlignment="1" applyProtection="1">
      <alignment horizontal="center" vertical="center" wrapText="1"/>
      <protection locked="0"/>
    </xf>
    <xf numFmtId="0" fontId="93" fillId="41" borderId="0" xfId="0" applyFont="1" applyFill="1" applyAlignment="1">
      <alignment horizontal="center" vertical="center" wrapText="1"/>
    </xf>
    <xf numFmtId="176" fontId="4" fillId="7" borderId="46" xfId="58" applyNumberFormat="1" applyFont="1" applyFill="1" applyBorder="1" applyProtection="1">
      <alignment/>
      <protection/>
    </xf>
    <xf numFmtId="4" fontId="4" fillId="34" borderId="32" xfId="0" applyNumberFormat="1" applyFont="1" applyFill="1" applyBorder="1" applyAlignment="1" applyProtection="1" quotePrefix="1">
      <alignment/>
      <protection/>
    </xf>
    <xf numFmtId="179" fontId="5" fillId="42" borderId="29" xfId="0" applyNumberFormat="1" applyFont="1" applyFill="1" applyBorder="1" applyAlignment="1" applyProtection="1">
      <alignment horizontal="right"/>
      <protection/>
    </xf>
    <xf numFmtId="0" fontId="94" fillId="0" borderId="0" xfId="57" applyFont="1" applyFill="1" applyAlignment="1" applyProtection="1">
      <alignment horizontal="right" vertical="top" wrapText="1"/>
      <protection hidden="1"/>
    </xf>
    <xf numFmtId="0" fontId="95" fillId="0" borderId="0" xfId="57" applyFont="1" applyFill="1" applyAlignment="1" applyProtection="1">
      <alignment horizontal="right" vertical="top" wrapText="1"/>
      <protection hidden="1"/>
    </xf>
    <xf numFmtId="0" fontId="22" fillId="0" borderId="0" xfId="57" applyFont="1" applyFill="1" applyBorder="1" applyAlignment="1" applyProtection="1">
      <alignment horizontal="left" wrapText="1"/>
      <protection hidden="1"/>
    </xf>
    <xf numFmtId="0" fontId="28" fillId="0" borderId="48" xfId="57" applyFont="1" applyFill="1" applyBorder="1" applyAlignment="1" applyProtection="1">
      <alignment horizontal="center"/>
      <protection hidden="1"/>
    </xf>
    <xf numFmtId="0" fontId="22" fillId="0" borderId="0" xfId="57" applyFont="1" applyFill="1" applyBorder="1" applyAlignment="1" applyProtection="1">
      <alignment horizontal="left"/>
      <protection hidden="1"/>
    </xf>
    <xf numFmtId="0" fontId="41" fillId="0" borderId="0" xfId="57" applyFont="1" applyFill="1" applyAlignment="1" applyProtection="1">
      <alignment horizontal="center" vertical="center" wrapText="1"/>
      <protection hidden="1"/>
    </xf>
    <xf numFmtId="0" fontId="28" fillId="0" borderId="48" xfId="0" applyFont="1" applyFill="1" applyBorder="1" applyAlignment="1" applyProtection="1">
      <alignment horizontal="center"/>
      <protection hidden="1"/>
    </xf>
    <xf numFmtId="0" fontId="87" fillId="2" borderId="11" xfId="0" applyFont="1" applyFill="1" applyBorder="1" applyAlignment="1" applyProtection="1">
      <alignment/>
      <protection hidden="1"/>
    </xf>
    <xf numFmtId="0" fontId="87" fillId="2" borderId="18" xfId="0" applyFont="1" applyFill="1" applyBorder="1" applyAlignment="1" applyProtection="1">
      <alignment/>
      <protection hidden="1"/>
    </xf>
    <xf numFmtId="0" fontId="87" fillId="2" borderId="16" xfId="0" applyFont="1" applyFill="1" applyBorder="1" applyAlignment="1" applyProtection="1">
      <alignment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87" fillId="2" borderId="14" xfId="0" applyFont="1" applyFill="1" applyBorder="1" applyAlignment="1" applyProtection="1">
      <alignment horizontal="justify"/>
      <protection hidden="1"/>
    </xf>
    <xf numFmtId="0" fontId="87" fillId="2" borderId="19" xfId="0" applyFont="1" applyFill="1" applyBorder="1" applyAlignment="1" applyProtection="1">
      <alignment horizontal="justify"/>
      <protection hidden="1"/>
    </xf>
    <xf numFmtId="0" fontId="87" fillId="2" borderId="20" xfId="0" applyFont="1" applyFill="1" applyBorder="1" applyAlignment="1" applyProtection="1">
      <alignment horizontal="justify"/>
      <protection hidden="1"/>
    </xf>
    <xf numFmtId="0" fontId="87" fillId="2" borderId="26" xfId="0" applyFont="1" applyFill="1" applyBorder="1" applyAlignment="1" applyProtection="1">
      <alignment horizontal="justify"/>
      <protection hidden="1"/>
    </xf>
    <xf numFmtId="0" fontId="87" fillId="2" borderId="0" xfId="0" applyFont="1" applyFill="1" applyBorder="1" applyAlignment="1" applyProtection="1">
      <alignment horizontal="justify"/>
      <protection hidden="1"/>
    </xf>
    <xf numFmtId="0" fontId="87" fillId="2" borderId="49" xfId="0" applyFont="1" applyFill="1" applyBorder="1" applyAlignment="1" applyProtection="1">
      <alignment horizontal="justify"/>
      <protection hidden="1"/>
    </xf>
    <xf numFmtId="0" fontId="87" fillId="2" borderId="23" xfId="0" applyFont="1" applyFill="1" applyBorder="1" applyAlignment="1" applyProtection="1">
      <alignment horizontal="justify"/>
      <protection hidden="1"/>
    </xf>
    <xf numFmtId="0" fontId="87" fillId="2" borderId="21" xfId="0" applyFont="1" applyFill="1" applyBorder="1" applyAlignment="1" applyProtection="1">
      <alignment horizontal="justify"/>
      <protection hidden="1"/>
    </xf>
    <xf numFmtId="0" fontId="87" fillId="2" borderId="27" xfId="0" applyFont="1" applyFill="1" applyBorder="1" applyAlignment="1" applyProtection="1">
      <alignment horizontal="justify"/>
      <protection hidden="1"/>
    </xf>
    <xf numFmtId="9" fontId="87" fillId="2" borderId="26" xfId="62" applyFont="1" applyFill="1" applyBorder="1" applyAlignment="1" applyProtection="1">
      <alignment vertical="center"/>
      <protection hidden="1"/>
    </xf>
    <xf numFmtId="9" fontId="87" fillId="2" borderId="26" xfId="62" applyFont="1" applyFill="1" applyBorder="1" applyAlignment="1" applyProtection="1">
      <alignment horizontal="justify" vertical="center"/>
      <protection hidden="1"/>
    </xf>
    <xf numFmtId="2" fontId="87" fillId="2" borderId="26" xfId="62" applyNumberFormat="1" applyFont="1" applyFill="1" applyBorder="1" applyAlignment="1" applyProtection="1">
      <alignment horizontal="justify"/>
      <protection hidden="1"/>
    </xf>
    <xf numFmtId="9" fontId="87" fillId="2" borderId="26" xfId="62" applyFont="1" applyFill="1" applyBorder="1" applyAlignment="1" applyProtection="1">
      <alignment horizontal="justify"/>
      <protection hidden="1"/>
    </xf>
    <xf numFmtId="0" fontId="4" fillId="0" borderId="0" xfId="0" applyFont="1" applyFill="1" applyBorder="1" applyAlignment="1" applyProtection="1">
      <alignment horizontal="justify" vertical="center" wrapText="1"/>
      <protection hidden="1"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10" fillId="33" borderId="13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 horizontal="left"/>
      <protection/>
    </xf>
    <xf numFmtId="0" fontId="28" fillId="0" borderId="48" xfId="0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 horizontal="center"/>
      <protection/>
    </xf>
    <xf numFmtId="0" fontId="10" fillId="33" borderId="24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176" fontId="5" fillId="33" borderId="17" xfId="0" applyNumberFormat="1" applyFont="1" applyFill="1" applyBorder="1" applyAlignment="1" applyProtection="1">
      <alignment horizontal="left" vertical="center" indent="5"/>
      <protection/>
    </xf>
    <xf numFmtId="176" fontId="5" fillId="33" borderId="22" xfId="0" applyNumberFormat="1" applyFont="1" applyFill="1" applyBorder="1" applyAlignment="1" applyProtection="1">
      <alignment horizontal="left" vertical="center" indent="5"/>
      <protection/>
    </xf>
    <xf numFmtId="176" fontId="5" fillId="33" borderId="13" xfId="0" applyNumberFormat="1" applyFont="1" applyFill="1" applyBorder="1" applyAlignment="1" applyProtection="1">
      <alignment horizontal="left" vertical="center" indent="5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 indent="5"/>
      <protection/>
    </xf>
    <xf numFmtId="176" fontId="5" fillId="33" borderId="17" xfId="0" applyNumberFormat="1" applyFont="1" applyFill="1" applyBorder="1" applyAlignment="1" applyProtection="1">
      <alignment horizontal="center" vertical="center"/>
      <protection/>
    </xf>
    <xf numFmtId="176" fontId="5" fillId="33" borderId="22" xfId="0" applyNumberFormat="1" applyFont="1" applyFill="1" applyBorder="1" applyAlignment="1" applyProtection="1">
      <alignment horizontal="center" vertical="center"/>
      <protection/>
    </xf>
    <xf numFmtId="176" fontId="5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 horizontal="center"/>
      <protection/>
    </xf>
    <xf numFmtId="0" fontId="11" fillId="33" borderId="16" xfId="0" applyFont="1" applyFill="1" applyBorder="1" applyAlignment="1" applyProtection="1">
      <alignment horizontal="center"/>
      <protection/>
    </xf>
    <xf numFmtId="0" fontId="16" fillId="33" borderId="11" xfId="0" applyFont="1" applyFill="1" applyBorder="1" applyAlignment="1" applyProtection="1">
      <alignment horizontal="center"/>
      <protection/>
    </xf>
    <xf numFmtId="0" fontId="16" fillId="33" borderId="18" xfId="0" applyFont="1" applyFill="1" applyBorder="1" applyAlignment="1" applyProtection="1">
      <alignment horizontal="center"/>
      <protection/>
    </xf>
    <xf numFmtId="0" fontId="16" fillId="33" borderId="16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176" fontId="5" fillId="33" borderId="11" xfId="58" applyNumberFormat="1" applyFont="1" applyFill="1" applyBorder="1" applyAlignment="1" applyProtection="1">
      <alignment horizontal="center" vertical="center"/>
      <protection/>
    </xf>
    <xf numFmtId="176" fontId="5" fillId="33" borderId="16" xfId="58" applyNumberFormat="1" applyFont="1" applyFill="1" applyBorder="1" applyAlignment="1" applyProtection="1">
      <alignment horizontal="center" vertical="center"/>
      <protection/>
    </xf>
    <xf numFmtId="0" fontId="5" fillId="33" borderId="11" xfId="58" applyFont="1" applyFill="1" applyBorder="1" applyAlignment="1" applyProtection="1">
      <alignment horizontal="center"/>
      <protection/>
    </xf>
    <xf numFmtId="0" fontId="5" fillId="33" borderId="16" xfId="58" applyFont="1" applyFill="1" applyBorder="1" applyAlignment="1" applyProtection="1">
      <alignment horizontal="center"/>
      <protection/>
    </xf>
    <xf numFmtId="176" fontId="5" fillId="33" borderId="46" xfId="58" applyNumberFormat="1" applyFont="1" applyFill="1" applyBorder="1" applyAlignment="1" applyProtection="1">
      <alignment horizontal="left" vertical="center"/>
      <protection/>
    </xf>
    <xf numFmtId="0" fontId="10" fillId="33" borderId="10" xfId="58" applyFont="1" applyFill="1" applyBorder="1" applyAlignment="1" applyProtection="1">
      <alignment horizontal="center"/>
      <protection/>
    </xf>
    <xf numFmtId="0" fontId="5" fillId="33" borderId="50" xfId="58" applyFont="1" applyFill="1" applyBorder="1" applyAlignment="1" applyProtection="1">
      <alignment horizontal="center"/>
      <protection/>
    </xf>
    <xf numFmtId="0" fontId="5" fillId="33" borderId="51" xfId="58" applyFont="1" applyFill="1" applyBorder="1" applyAlignment="1" applyProtection="1">
      <alignment horizontal="center"/>
      <protection/>
    </xf>
    <xf numFmtId="0" fontId="5" fillId="33" borderId="52" xfId="58" applyFont="1" applyFill="1" applyBorder="1" applyAlignment="1" applyProtection="1">
      <alignment horizontal="center"/>
      <protection/>
    </xf>
    <xf numFmtId="176" fontId="5" fillId="33" borderId="23" xfId="58" applyNumberFormat="1" applyFont="1" applyFill="1" applyBorder="1" applyAlignment="1" applyProtection="1">
      <alignment horizontal="left" vertical="center"/>
      <protection/>
    </xf>
    <xf numFmtId="176" fontId="5" fillId="33" borderId="27" xfId="58" applyNumberFormat="1" applyFont="1" applyFill="1" applyBorder="1" applyAlignment="1" applyProtection="1">
      <alignment horizontal="left" vertical="center"/>
      <protection/>
    </xf>
    <xf numFmtId="176" fontId="5" fillId="33" borderId="11" xfId="58" applyNumberFormat="1" applyFont="1" applyFill="1" applyBorder="1" applyAlignment="1" applyProtection="1">
      <alignment horizontal="left" vertical="center"/>
      <protection/>
    </xf>
    <xf numFmtId="176" fontId="5" fillId="33" borderId="16" xfId="58" applyNumberFormat="1" applyFont="1" applyFill="1" applyBorder="1" applyAlignment="1" applyProtection="1">
      <alignment horizontal="left" vertical="center"/>
      <protection/>
    </xf>
    <xf numFmtId="176" fontId="5" fillId="33" borderId="13" xfId="58" applyNumberFormat="1" applyFont="1" applyFill="1" applyBorder="1" applyAlignment="1" applyProtection="1">
      <alignment horizontal="left" vertical="center"/>
      <protection/>
    </xf>
    <xf numFmtId="0" fontId="5" fillId="33" borderId="53" xfId="0" applyFont="1" applyFill="1" applyBorder="1" applyAlignment="1" applyProtection="1">
      <alignment horizontal="left" vertical="top" wrapText="1"/>
      <protection/>
    </xf>
    <xf numFmtId="0" fontId="5" fillId="33" borderId="54" xfId="0" applyFont="1" applyFill="1" applyBorder="1" applyAlignment="1" applyProtection="1">
      <alignment horizontal="left" vertical="top" wrapText="1"/>
      <protection/>
    </xf>
    <xf numFmtId="0" fontId="5" fillId="33" borderId="53" xfId="0" applyFont="1" applyFill="1" applyBorder="1" applyAlignment="1" applyProtection="1">
      <alignment horizontal="center" vertical="top" wrapText="1"/>
      <protection/>
    </xf>
    <xf numFmtId="0" fontId="5" fillId="33" borderId="54" xfId="0" applyFont="1" applyFill="1" applyBorder="1" applyAlignment="1" applyProtection="1">
      <alignment horizontal="center" vertical="top" wrapText="1"/>
      <protection/>
    </xf>
    <xf numFmtId="0" fontId="5" fillId="33" borderId="55" xfId="0" applyFont="1" applyFill="1" applyBorder="1" applyAlignment="1" applyProtection="1">
      <alignment horizontal="center" vertical="top" wrapText="1"/>
      <protection/>
    </xf>
    <xf numFmtId="0" fontId="5" fillId="33" borderId="20" xfId="0" applyFont="1" applyFill="1" applyBorder="1" applyAlignment="1" applyProtection="1">
      <alignment horizontal="center" vertical="top" wrapText="1"/>
      <protection/>
    </xf>
    <xf numFmtId="0" fontId="4" fillId="33" borderId="56" xfId="0" applyFont="1" applyFill="1" applyBorder="1" applyAlignment="1" applyProtection="1">
      <alignment horizontal="left"/>
      <protection/>
    </xf>
    <xf numFmtId="0" fontId="4" fillId="33" borderId="57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5" fillId="33" borderId="49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10" fillId="0" borderId="48" xfId="0" applyFont="1" applyFill="1" applyBorder="1" applyAlignment="1" applyProtection="1">
      <alignment horizontal="center"/>
      <protection/>
    </xf>
    <xf numFmtId="0" fontId="38" fillId="38" borderId="11" xfId="0" applyFont="1" applyFill="1" applyBorder="1" applyAlignment="1" applyProtection="1">
      <alignment horizontal="center"/>
      <protection/>
    </xf>
    <xf numFmtId="0" fontId="38" fillId="38" borderId="16" xfId="0" applyFont="1" applyFill="1" applyBorder="1" applyAlignment="1" applyProtection="1">
      <alignment horizontal="center"/>
      <protection/>
    </xf>
    <xf numFmtId="0" fontId="87" fillId="38" borderId="0" xfId="0" applyFont="1" applyFill="1" applyBorder="1" applyAlignment="1" applyProtection="1">
      <alignment horizontal="justify"/>
      <protection/>
    </xf>
    <xf numFmtId="3" fontId="5" fillId="2" borderId="58" xfId="0" applyNumberFormat="1" applyFont="1" applyFill="1" applyBorder="1" applyAlignment="1" applyProtection="1">
      <alignment horizontal="center" vertical="center"/>
      <protection/>
    </xf>
    <xf numFmtId="0" fontId="5" fillId="2" borderId="59" xfId="0" applyFont="1" applyFill="1" applyBorder="1" applyAlignment="1" applyProtection="1">
      <alignment horizontal="center" vertical="center"/>
      <protection/>
    </xf>
    <xf numFmtId="0" fontId="38" fillId="4" borderId="11" xfId="0" applyFont="1" applyFill="1" applyBorder="1" applyAlignment="1" applyProtection="1">
      <alignment horizontal="center"/>
      <protection/>
    </xf>
    <xf numFmtId="0" fontId="38" fillId="4" borderId="16" xfId="0" applyFont="1" applyFill="1" applyBorder="1" applyAlignment="1" applyProtection="1">
      <alignment horizontal="center"/>
      <protection/>
    </xf>
    <xf numFmtId="0" fontId="88" fillId="34" borderId="60" xfId="0" applyFont="1" applyFill="1" applyBorder="1" applyAlignment="1" applyProtection="1">
      <alignment horizontal="justify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ModeloEconFinanceiro" xfId="58"/>
    <cellStyle name="Normal_ModeloInzym" xfId="59"/>
    <cellStyle name="Note" xfId="60"/>
    <cellStyle name="Output" xfId="61"/>
    <cellStyle name="Percent" xfId="62"/>
    <cellStyle name="Percentagem_ModeloInzym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2</xdr:col>
      <xdr:colOff>733425</xdr:colOff>
      <xdr:row>3</xdr:row>
      <xdr:rowOff>9525</xdr:rowOff>
    </xdr:to>
    <xdr:pic>
      <xdr:nvPicPr>
        <xdr:cNvPr id="1" name="Picture 3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2</xdr:col>
      <xdr:colOff>733425</xdr:colOff>
      <xdr:row>3</xdr:row>
      <xdr:rowOff>9525</xdr:rowOff>
    </xdr:to>
    <xdr:pic>
      <xdr:nvPicPr>
        <xdr:cNvPr id="2" name="Picture 3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0</xdr:col>
      <xdr:colOff>1419225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333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0</xdr:col>
      <xdr:colOff>1419225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333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333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0</xdr:col>
      <xdr:colOff>1400175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304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31</xdr:row>
      <xdr:rowOff>38100</xdr:rowOff>
    </xdr:from>
    <xdr:to>
      <xdr:col>0</xdr:col>
      <xdr:colOff>1495425</xdr:colOff>
      <xdr:row>33</xdr:row>
      <xdr:rowOff>38100</xdr:rowOff>
    </xdr:to>
    <xdr:sp macro="[0]!Macro1">
      <xdr:nvSpPr>
        <xdr:cNvPr id="2" name="AutoShape 3"/>
        <xdr:cNvSpPr>
          <a:spLocks/>
        </xdr:cNvSpPr>
      </xdr:nvSpPr>
      <xdr:spPr>
        <a:xfrm>
          <a:off x="285750" y="4124325"/>
          <a:ext cx="1209675" cy="2476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Acerto do modelo</a:t>
          </a:r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1" name="Picture 68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14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0</xdr:col>
      <xdr:colOff>1400175</xdr:colOff>
      <xdr:row>3</xdr:row>
      <xdr:rowOff>28575</xdr:rowOff>
    </xdr:to>
    <xdr:pic>
      <xdr:nvPicPr>
        <xdr:cNvPr id="1" name="Picture 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314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304800</xdr:colOff>
      <xdr:row>50</xdr:row>
      <xdr:rowOff>66675</xdr:rowOff>
    </xdr:from>
    <xdr:to>
      <xdr:col>9</xdr:col>
      <xdr:colOff>304800</xdr:colOff>
      <xdr:row>63</xdr:row>
      <xdr:rowOff>9525</xdr:rowOff>
    </xdr:to>
    <xdr:sp>
      <xdr:nvSpPr>
        <xdr:cNvPr id="2" name="Conexão recta unidireccional 3"/>
        <xdr:cNvSpPr>
          <a:spLocks/>
        </xdr:cNvSpPr>
      </xdr:nvSpPr>
      <xdr:spPr>
        <a:xfrm>
          <a:off x="8734425" y="6667500"/>
          <a:ext cx="0" cy="156210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361950</xdr:colOff>
      <xdr:row>60</xdr:row>
      <xdr:rowOff>76200</xdr:rowOff>
    </xdr:from>
    <xdr:to>
      <xdr:col>10</xdr:col>
      <xdr:colOff>0</xdr:colOff>
      <xdr:row>60</xdr:row>
      <xdr:rowOff>76200</xdr:rowOff>
    </xdr:to>
    <xdr:sp>
      <xdr:nvSpPr>
        <xdr:cNvPr id="3" name="Conexão recta unidireccional 11"/>
        <xdr:cNvSpPr>
          <a:spLocks/>
        </xdr:cNvSpPr>
      </xdr:nvSpPr>
      <xdr:spPr>
        <a:xfrm>
          <a:off x="8791575" y="7915275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361950</xdr:colOff>
      <xdr:row>62</xdr:row>
      <xdr:rowOff>85725</xdr:rowOff>
    </xdr:from>
    <xdr:to>
      <xdr:col>10</xdr:col>
      <xdr:colOff>0</xdr:colOff>
      <xdr:row>62</xdr:row>
      <xdr:rowOff>85725</xdr:rowOff>
    </xdr:to>
    <xdr:sp>
      <xdr:nvSpPr>
        <xdr:cNvPr id="4" name="Conexão recta unidireccional 12"/>
        <xdr:cNvSpPr>
          <a:spLocks/>
        </xdr:cNvSpPr>
      </xdr:nvSpPr>
      <xdr:spPr>
        <a:xfrm>
          <a:off x="8791575" y="8181975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219075</xdr:colOff>
      <xdr:row>30</xdr:row>
      <xdr:rowOff>9525</xdr:rowOff>
    </xdr:from>
    <xdr:to>
      <xdr:col>9</xdr:col>
      <xdr:colOff>219075</xdr:colOff>
      <xdr:row>39</xdr:row>
      <xdr:rowOff>28575</xdr:rowOff>
    </xdr:to>
    <xdr:sp>
      <xdr:nvSpPr>
        <xdr:cNvPr id="5" name="Conexão recta unidireccional 13"/>
        <xdr:cNvSpPr>
          <a:spLocks/>
        </xdr:cNvSpPr>
      </xdr:nvSpPr>
      <xdr:spPr>
        <a:xfrm flipH="1">
          <a:off x="8648700" y="4019550"/>
          <a:ext cx="0" cy="118110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323850</xdr:colOff>
      <xdr:row>36</xdr:row>
      <xdr:rowOff>85725</xdr:rowOff>
    </xdr:from>
    <xdr:to>
      <xdr:col>9</xdr:col>
      <xdr:colOff>542925</xdr:colOff>
      <xdr:row>36</xdr:row>
      <xdr:rowOff>85725</xdr:rowOff>
    </xdr:to>
    <xdr:sp>
      <xdr:nvSpPr>
        <xdr:cNvPr id="6" name="Conexão recta unidireccional 16"/>
        <xdr:cNvSpPr>
          <a:spLocks/>
        </xdr:cNvSpPr>
      </xdr:nvSpPr>
      <xdr:spPr>
        <a:xfrm>
          <a:off x="8753475" y="4838700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361950</xdr:colOff>
      <xdr:row>38</xdr:row>
      <xdr:rowOff>104775</xdr:rowOff>
    </xdr:from>
    <xdr:to>
      <xdr:col>10</xdr:col>
      <xdr:colOff>0</xdr:colOff>
      <xdr:row>38</xdr:row>
      <xdr:rowOff>104775</xdr:rowOff>
    </xdr:to>
    <xdr:sp>
      <xdr:nvSpPr>
        <xdr:cNvPr id="7" name="Conexão recta unidireccional 17"/>
        <xdr:cNvSpPr>
          <a:spLocks/>
        </xdr:cNvSpPr>
      </xdr:nvSpPr>
      <xdr:spPr>
        <a:xfrm>
          <a:off x="8791575" y="5114925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304800</xdr:colOff>
      <xdr:row>17</xdr:row>
      <xdr:rowOff>85725</xdr:rowOff>
    </xdr:from>
    <xdr:to>
      <xdr:col>9</xdr:col>
      <xdr:colOff>514350</xdr:colOff>
      <xdr:row>17</xdr:row>
      <xdr:rowOff>85725</xdr:rowOff>
    </xdr:to>
    <xdr:sp>
      <xdr:nvSpPr>
        <xdr:cNvPr id="8" name="Conexão recta unidireccional 8"/>
        <xdr:cNvSpPr>
          <a:spLocks/>
        </xdr:cNvSpPr>
      </xdr:nvSpPr>
      <xdr:spPr>
        <a:xfrm>
          <a:off x="8734425" y="2409825"/>
          <a:ext cx="20955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323850</xdr:colOff>
      <xdr:row>19</xdr:row>
      <xdr:rowOff>104775</xdr:rowOff>
    </xdr:from>
    <xdr:to>
      <xdr:col>9</xdr:col>
      <xdr:colOff>533400</xdr:colOff>
      <xdr:row>19</xdr:row>
      <xdr:rowOff>104775</xdr:rowOff>
    </xdr:to>
    <xdr:sp>
      <xdr:nvSpPr>
        <xdr:cNvPr id="9" name="Conexão recta unidireccional 9"/>
        <xdr:cNvSpPr>
          <a:spLocks/>
        </xdr:cNvSpPr>
      </xdr:nvSpPr>
      <xdr:spPr>
        <a:xfrm>
          <a:off x="8753475" y="2686050"/>
          <a:ext cx="20955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219075</xdr:colOff>
      <xdr:row>10</xdr:row>
      <xdr:rowOff>9525</xdr:rowOff>
    </xdr:from>
    <xdr:to>
      <xdr:col>9</xdr:col>
      <xdr:colOff>219075</xdr:colOff>
      <xdr:row>20</xdr:row>
      <xdr:rowOff>0</xdr:rowOff>
    </xdr:to>
    <xdr:sp>
      <xdr:nvSpPr>
        <xdr:cNvPr id="10" name="Conexão recta unidireccional 10"/>
        <xdr:cNvSpPr>
          <a:spLocks/>
        </xdr:cNvSpPr>
      </xdr:nvSpPr>
      <xdr:spPr>
        <a:xfrm>
          <a:off x="8648700" y="1466850"/>
          <a:ext cx="0" cy="127635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1428750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1400175</xdr:colOff>
      <xdr:row>2</xdr:row>
      <xdr:rowOff>161925</xdr:rowOff>
    </xdr:to>
    <xdr:pic>
      <xdr:nvPicPr>
        <xdr:cNvPr id="1" name="Picture 5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04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0</xdr:col>
      <xdr:colOff>1409700</xdr:colOff>
      <xdr:row>2</xdr:row>
      <xdr:rowOff>161925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304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1428750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1409700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1314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0</xdr:col>
      <xdr:colOff>1419225</xdr:colOff>
      <xdr:row>3</xdr:row>
      <xdr:rowOff>28575</xdr:rowOff>
    </xdr:to>
    <xdr:pic>
      <xdr:nvPicPr>
        <xdr:cNvPr id="1" name="Picture 540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333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47625</xdr:rowOff>
    </xdr:from>
    <xdr:to>
      <xdr:col>0</xdr:col>
      <xdr:colOff>1409700</xdr:colOff>
      <xdr:row>4</xdr:row>
      <xdr:rowOff>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0025"/>
          <a:ext cx="1314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0</xdr:col>
      <xdr:colOff>1400175</xdr:colOff>
      <xdr:row>3</xdr:row>
      <xdr:rowOff>28575</xdr:rowOff>
    </xdr:to>
    <xdr:pic>
      <xdr:nvPicPr>
        <xdr:cNvPr id="1" name="Picture 123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304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f\Os%20meus%20documentos\PESS\MBA\ESTRE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balho\ClientesActivos\Collab\Or&#231;mto%202006%20v2\Or&#231;mto%202006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miraldes\Downloads\SBI%20Consulting\Finicia\ModeloGaspar\3&#170;versao\pn_v4_3004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ras de Utilização"/>
      <sheetName val="Pressupostos"/>
      <sheetName val="VN"/>
      <sheetName val="CMVMC"/>
      <sheetName val="FSE"/>
      <sheetName val="Custos Pessoal"/>
      <sheetName val="FundoManeio"/>
      <sheetName val="Investimento"/>
      <sheetName val="Financiamento"/>
      <sheetName val="DR"/>
      <sheetName val="Cash Flow"/>
      <sheetName val="PlanoFinanceiro"/>
      <sheetName val="Balanço"/>
      <sheetName val="Indicadores"/>
      <sheetName val="Avaliação"/>
      <sheetName val="Calculos Auxilia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5"/>
  <sheetViews>
    <sheetView tabSelected="1" zoomScale="75" zoomScaleNormal="75" workbookViewId="0" topLeftCell="A1">
      <selection activeCell="B3" sqref="B3"/>
    </sheetView>
  </sheetViews>
  <sheetFormatPr defaultColWidth="8.8515625" defaultRowHeight="12.75"/>
  <cols>
    <col min="1" max="1" width="3.7109375" style="14" customWidth="1"/>
    <col min="2" max="2" width="112.00390625" style="0" customWidth="1"/>
    <col min="3" max="73" width="3.7109375" style="14" customWidth="1"/>
  </cols>
  <sheetData>
    <row r="1" ht="196.5" customHeight="1" thickBot="1">
      <c r="B1" s="472" t="s">
        <v>460</v>
      </c>
    </row>
    <row r="2" ht="42" customHeight="1">
      <c r="B2" s="473" t="s">
        <v>461</v>
      </c>
    </row>
    <row r="3" ht="252.75" customHeight="1">
      <c r="B3" s="474" t="s">
        <v>463</v>
      </c>
    </row>
    <row r="4" ht="24.75" customHeight="1">
      <c r="B4" s="475" t="s">
        <v>462</v>
      </c>
    </row>
    <row r="5" ht="35.25" customHeight="1">
      <c r="B5" s="476"/>
    </row>
    <row r="6" s="14" customFormat="1" ht="409.5" customHeight="1"/>
    <row r="7" s="14" customFormat="1" ht="409.5" customHeight="1"/>
    <row r="8" s="14" customFormat="1" ht="409.5" customHeight="1"/>
    <row r="9" s="14" customFormat="1" ht="409.5" customHeight="1"/>
    <row r="10" s="14" customFormat="1" ht="409.5" customHeight="1"/>
    <row r="11" s="14" customFormat="1" ht="409.5" customHeight="1"/>
    <row r="12" s="14" customFormat="1" ht="409.5" customHeight="1"/>
    <row r="13" s="14" customFormat="1" ht="409.5" customHeight="1"/>
    <row r="14" s="14" customFormat="1" ht="409.5" customHeight="1"/>
    <row r="15" s="14" customFormat="1" ht="409.5" customHeight="1"/>
    <row r="16" s="14" customFormat="1" ht="409.5" customHeight="1"/>
    <row r="17" s="14" customFormat="1" ht="409.5" customHeight="1"/>
    <row r="18" s="14" customFormat="1" ht="409.5" customHeight="1"/>
    <row r="19" s="14" customFormat="1" ht="409.5" customHeight="1"/>
    <row r="20" s="14" customFormat="1" ht="409.5" customHeight="1"/>
    <row r="21" s="14" customFormat="1" ht="409.5" customHeight="1"/>
    <row r="22" s="14" customFormat="1" ht="409.5" customHeight="1"/>
    <row r="23" s="14" customFormat="1" ht="409.5" customHeight="1"/>
    <row r="24" s="14" customFormat="1" ht="409.5" customHeight="1"/>
    <row r="25" s="14" customFormat="1" ht="409.5" customHeight="1"/>
    <row r="26" s="14" customFormat="1" ht="409.5" customHeight="1"/>
    <row r="27" s="14" customFormat="1" ht="409.5" customHeight="1"/>
    <row r="28" s="14" customFormat="1" ht="409.5" customHeight="1"/>
    <row r="29" s="14" customFormat="1" ht="409.5" customHeight="1"/>
    <row r="30" s="14" customFormat="1" ht="409.5" customHeight="1"/>
    <row r="31" s="14" customFormat="1" ht="409.5" customHeight="1"/>
    <row r="32" s="14" customFormat="1" ht="409.5" customHeight="1"/>
    <row r="33" s="14" customFormat="1" ht="409.5" customHeight="1"/>
    <row r="34" s="14" customFormat="1" ht="409.5" customHeight="1"/>
    <row r="35" s="14" customFormat="1" ht="409.5" customHeight="1"/>
    <row r="36" s="14" customFormat="1" ht="409.5" customHeight="1"/>
    <row r="37" s="14" customFormat="1" ht="409.5" customHeight="1"/>
    <row r="38" s="14" customFormat="1" ht="409.5" customHeight="1"/>
    <row r="39" s="14" customFormat="1" ht="409.5" customHeight="1"/>
    <row r="40" s="14" customFormat="1" ht="409.5" customHeight="1"/>
    <row r="41" s="14" customFormat="1" ht="409.5" customHeight="1"/>
    <row r="42" s="14" customFormat="1" ht="409.5" customHeight="1"/>
    <row r="43" s="14" customFormat="1" ht="409.5" customHeight="1"/>
    <row r="44" s="14" customFormat="1" ht="409.5" customHeight="1"/>
    <row r="45" s="14" customFormat="1" ht="409.5" customHeight="1"/>
    <row r="46" s="14" customFormat="1" ht="409.5" customHeight="1"/>
    <row r="47" s="14" customFormat="1" ht="409.5" customHeight="1"/>
    <row r="48" s="14" customFormat="1" ht="409.5" customHeight="1"/>
    <row r="49" s="14" customFormat="1" ht="409.5" customHeight="1"/>
    <row r="50" s="14" customFormat="1" ht="409.5" customHeight="1"/>
    <row r="51" s="14" customFormat="1" ht="409.5" customHeight="1"/>
    <row r="52" s="14" customFormat="1" ht="409.5" customHeight="1"/>
    <row r="53" s="14" customFormat="1" ht="409.5" customHeight="1"/>
    <row r="54" s="14" customFormat="1" ht="409.5" customHeight="1"/>
    <row r="55" s="14" customFormat="1" ht="409.5" customHeight="1"/>
    <row r="56" s="14" customFormat="1" ht="409.5" customHeight="1"/>
    <row r="57" s="14" customFormat="1" ht="409.5" customHeight="1"/>
    <row r="58" s="14" customFormat="1" ht="409.5" customHeight="1"/>
    <row r="59" s="14" customFormat="1" ht="409.5" customHeight="1"/>
    <row r="60" s="14" customFormat="1" ht="409.5" customHeight="1"/>
    <row r="61" s="14" customFormat="1" ht="409.5" customHeight="1"/>
    <row r="62" s="14" customFormat="1" ht="409.5" customHeight="1"/>
    <row r="63" s="14" customFormat="1" ht="409.5" customHeight="1"/>
    <row r="64" s="14" customFormat="1" ht="409.5" customHeight="1"/>
    <row r="65" s="14" customFormat="1" ht="409.5" customHeight="1"/>
    <row r="66" s="14" customFormat="1" ht="409.5" customHeight="1"/>
    <row r="67" s="14" customFormat="1" ht="409.5" customHeight="1"/>
    <row r="68" s="14" customFormat="1" ht="409.5" customHeight="1"/>
    <row r="69" s="14" customFormat="1" ht="409.5" customHeight="1"/>
    <row r="70" s="14" customFormat="1" ht="409.5" customHeight="1"/>
    <row r="71" s="14" customFormat="1" ht="409.5" customHeight="1"/>
    <row r="72" s="14" customFormat="1" ht="409.5" customHeight="1"/>
    <row r="73" s="14" customFormat="1" ht="409.5" customHeight="1"/>
    <row r="74" s="14" customFormat="1" ht="409.5" customHeight="1"/>
    <row r="75" s="14" customFormat="1" ht="409.5" customHeight="1"/>
    <row r="76" s="14" customFormat="1" ht="409.5" customHeight="1"/>
    <row r="77" s="14" customFormat="1" ht="409.5" customHeight="1"/>
    <row r="78" s="14" customFormat="1" ht="409.5" customHeight="1"/>
    <row r="79" s="14" customFormat="1" ht="409.5" customHeight="1"/>
    <row r="80" s="14" customFormat="1" ht="409.5" customHeight="1"/>
    <row r="81" s="14" customFormat="1" ht="409.5" customHeight="1"/>
    <row r="82" s="14" customFormat="1" ht="409.5" customHeight="1"/>
    <row r="83" s="14" customFormat="1" ht="409.5" customHeight="1"/>
    <row r="84" s="14" customFormat="1" ht="409.5" customHeight="1"/>
    <row r="85" s="14" customFormat="1" ht="409.5" customHeight="1"/>
    <row r="86" s="14" customFormat="1" ht="409.5" customHeight="1"/>
    <row r="87" s="14" customFormat="1" ht="409.5" customHeight="1"/>
    <row r="88" s="14" customFormat="1" ht="409.5" customHeight="1"/>
    <row r="89" s="14" customFormat="1" ht="409.5" customHeight="1"/>
    <row r="90" s="14" customFormat="1" ht="409.5" customHeight="1"/>
    <row r="91" s="14" customFormat="1" ht="409.5" customHeight="1"/>
    <row r="92" s="14" customFormat="1" ht="409.5" customHeight="1"/>
    <row r="93" s="14" customFormat="1" ht="409.5" customHeight="1"/>
    <row r="94" s="14" customFormat="1" ht="409.5" customHeight="1"/>
    <row r="95" s="14" customFormat="1" ht="409.5" customHeight="1"/>
    <row r="96" s="14" customFormat="1" ht="409.5" customHeight="1"/>
    <row r="97" s="14" customFormat="1" ht="409.5" customHeight="1"/>
    <row r="98" s="14" customFormat="1" ht="409.5" customHeight="1"/>
    <row r="99" s="14" customFormat="1" ht="409.5" customHeight="1"/>
    <row r="100" s="14" customFormat="1" ht="409.5" customHeight="1"/>
    <row r="101" s="14" customFormat="1" ht="409.5" customHeight="1"/>
    <row r="102" s="14" customFormat="1" ht="409.5" customHeight="1"/>
    <row r="103" s="14" customFormat="1" ht="409.5" customHeight="1"/>
    <row r="104" s="14" customFormat="1" ht="409.5" customHeight="1"/>
    <row r="105" s="14" customFormat="1" ht="409.5" customHeight="1"/>
    <row r="106" s="14" customFormat="1" ht="409.5" customHeight="1"/>
    <row r="107" s="14" customFormat="1" ht="409.5" customHeight="1"/>
    <row r="108" s="14" customFormat="1" ht="409.5" customHeight="1"/>
    <row r="109" s="14" customFormat="1" ht="409.5" customHeight="1"/>
    <row r="110" s="14" customFormat="1" ht="409.5" customHeight="1"/>
    <row r="111" s="14" customFormat="1" ht="409.5" customHeight="1"/>
    <row r="112" s="14" customFormat="1" ht="409.5" customHeight="1"/>
    <row r="113" s="14" customFormat="1" ht="409.5" customHeight="1"/>
    <row r="114" s="14" customFormat="1" ht="409.5" customHeight="1"/>
    <row r="115" s="14" customFormat="1" ht="409.5" customHeight="1"/>
    <row r="116" s="14" customFormat="1" ht="409.5" customHeight="1"/>
    <row r="117" s="14" customFormat="1" ht="409.5" customHeight="1"/>
    <row r="118" s="14" customFormat="1" ht="409.5" customHeight="1"/>
    <row r="119" s="14" customFormat="1" ht="409.5" customHeight="1"/>
    <row r="120" s="14" customFormat="1" ht="409.5" customHeight="1"/>
    <row r="121" s="14" customFormat="1" ht="409.5" customHeight="1"/>
    <row r="122" s="14" customFormat="1" ht="409.5" customHeight="1"/>
    <row r="123" s="14" customFormat="1" ht="409.5" customHeight="1"/>
    <row r="124" s="14" customFormat="1" ht="409.5" customHeight="1"/>
    <row r="125" s="14" customFormat="1" ht="409.5" customHeight="1"/>
    <row r="126" s="14" customFormat="1" ht="409.5" customHeight="1"/>
    <row r="127" s="14" customFormat="1" ht="409.5" customHeight="1"/>
    <row r="128" s="14" customFormat="1" ht="409.5" customHeight="1"/>
    <row r="129" s="14" customFormat="1" ht="409.5" customHeight="1"/>
    <row r="130" s="14" customFormat="1" ht="409.5" customHeight="1"/>
    <row r="131" s="14" customFormat="1" ht="409.5" customHeight="1"/>
    <row r="132" s="14" customFormat="1" ht="409.5" customHeight="1"/>
    <row r="133" s="14" customFormat="1" ht="409.5" customHeight="1"/>
    <row r="134" s="14" customFormat="1" ht="409.5" customHeight="1"/>
    <row r="135" s="14" customFormat="1" ht="409.5" customHeight="1"/>
    <row r="136" s="14" customFormat="1" ht="409.5" customHeight="1"/>
    <row r="137" s="14" customFormat="1" ht="409.5" customHeight="1"/>
    <row r="138" s="14" customFormat="1" ht="409.5" customHeight="1"/>
    <row r="139" s="14" customFormat="1" ht="409.5" customHeight="1"/>
    <row r="140" s="14" customFormat="1" ht="409.5" customHeight="1"/>
    <row r="141" s="14" customFormat="1" ht="409.5" customHeight="1"/>
    <row r="142" s="14" customFormat="1" ht="409.5" customHeight="1"/>
    <row r="143" s="14" customFormat="1" ht="409.5" customHeight="1"/>
    <row r="144" s="14" customFormat="1" ht="409.5" customHeight="1"/>
    <row r="145" s="14" customFormat="1" ht="409.5" customHeight="1"/>
    <row r="146" s="14" customFormat="1" ht="409.5" customHeight="1"/>
    <row r="147" s="14" customFormat="1" ht="409.5" customHeight="1"/>
    <row r="148" s="14" customFormat="1" ht="409.5" customHeight="1"/>
    <row r="149" s="14" customFormat="1" ht="409.5" customHeight="1"/>
    <row r="150" s="14" customFormat="1" ht="409.5" customHeight="1"/>
    <row r="151" s="14" customFormat="1" ht="409.5" customHeight="1"/>
    <row r="152" s="14" customFormat="1" ht="409.5" customHeight="1"/>
    <row r="153" s="14" customFormat="1" ht="409.5" customHeight="1"/>
    <row r="154" s="14" customFormat="1" ht="409.5" customHeight="1"/>
    <row r="155" s="14" customFormat="1" ht="409.5" customHeight="1"/>
    <row r="156" s="14" customFormat="1" ht="409.5" customHeight="1"/>
    <row r="157" s="14" customFormat="1" ht="409.5" customHeight="1"/>
    <row r="158" s="14" customFormat="1" ht="409.5" customHeight="1"/>
    <row r="159" s="14" customFormat="1" ht="409.5" customHeight="1"/>
    <row r="160" s="14" customFormat="1" ht="409.5" customHeight="1"/>
    <row r="161" s="14" customFormat="1" ht="409.5" customHeight="1"/>
    <row r="162" s="14" customFormat="1" ht="409.5" customHeight="1"/>
    <row r="163" s="14" customFormat="1" ht="409.5" customHeight="1"/>
    <row r="164" s="14" customFormat="1" ht="409.5" customHeight="1"/>
    <row r="165" s="14" customFormat="1" ht="409.5" customHeight="1"/>
    <row r="166" s="14" customFormat="1" ht="409.5" customHeight="1"/>
    <row r="167" s="14" customFormat="1" ht="409.5" customHeight="1"/>
    <row r="168" s="14" customFormat="1" ht="409.5" customHeight="1"/>
    <row r="169" s="14" customFormat="1" ht="409.5" customHeight="1"/>
    <row r="170" s="14" customFormat="1" ht="409.5" customHeight="1"/>
    <row r="171" s="14" customFormat="1" ht="409.5" customHeight="1"/>
    <row r="172" s="14" customFormat="1" ht="409.5" customHeight="1"/>
    <row r="173" s="14" customFormat="1" ht="409.5" customHeight="1"/>
    <row r="174" s="14" customFormat="1" ht="409.5" customHeight="1"/>
    <row r="175" s="14" customFormat="1" ht="409.5" customHeight="1"/>
    <row r="176" s="14" customFormat="1" ht="409.5" customHeight="1"/>
    <row r="177" s="14" customFormat="1" ht="409.5" customHeight="1"/>
    <row r="178" s="14" customFormat="1" ht="409.5" customHeight="1"/>
    <row r="179" s="14" customFormat="1" ht="409.5" customHeight="1"/>
    <row r="180" s="14" customFormat="1" ht="409.5" customHeight="1"/>
    <row r="181" s="14" customFormat="1" ht="409.5" customHeight="1"/>
    <row r="182" s="14" customFormat="1" ht="409.5" customHeight="1"/>
    <row r="183" s="14" customFormat="1" ht="409.5" customHeight="1"/>
    <row r="184" s="14" customFormat="1" ht="409.5" customHeight="1"/>
    <row r="185" s="14" customFormat="1" ht="409.5" customHeight="1"/>
    <row r="186" s="14" customFormat="1" ht="409.5" customHeight="1"/>
    <row r="187" s="14" customFormat="1" ht="409.5" customHeight="1"/>
    <row r="188" s="14" customFormat="1" ht="409.5" customHeight="1"/>
    <row r="189" s="14" customFormat="1" ht="409.5" customHeight="1"/>
    <row r="190" s="14" customFormat="1" ht="409.5" customHeight="1"/>
    <row r="191" s="14" customFormat="1" ht="409.5" customHeight="1"/>
    <row r="192" s="14" customFormat="1" ht="409.5" customHeight="1"/>
    <row r="193" s="14" customFormat="1" ht="409.5" customHeight="1"/>
    <row r="194" s="14" customFormat="1" ht="409.5" customHeight="1"/>
    <row r="195" s="14" customFormat="1" ht="409.5" customHeight="1"/>
    <row r="196" s="14" customFormat="1" ht="409.5" customHeight="1"/>
    <row r="197" s="14" customFormat="1" ht="409.5" customHeight="1"/>
    <row r="198" s="14" customFormat="1" ht="409.5" customHeight="1"/>
    <row r="199" s="14" customFormat="1" ht="409.5" customHeight="1"/>
    <row r="200" s="14" customFormat="1" ht="409.5" customHeight="1"/>
    <row r="201" s="14" customFormat="1" ht="409.5" customHeight="1"/>
    <row r="202" s="14" customFormat="1" ht="409.5" customHeight="1"/>
    <row r="203" s="14" customFormat="1" ht="409.5" customHeight="1"/>
    <row r="204" s="14" customFormat="1" ht="409.5" customHeight="1"/>
    <row r="205" s="14" customFormat="1" ht="409.5" customHeight="1"/>
    <row r="206" s="14" customFormat="1" ht="409.5" customHeight="1"/>
    <row r="207" s="14" customFormat="1" ht="409.5" customHeight="1"/>
    <row r="208" s="14" customFormat="1" ht="409.5" customHeight="1"/>
    <row r="209" s="14" customFormat="1" ht="409.5" customHeight="1"/>
    <row r="210" s="14" customFormat="1" ht="409.5" customHeight="1"/>
    <row r="211" s="14" customFormat="1" ht="409.5" customHeight="1"/>
    <row r="212" s="14" customFormat="1" ht="409.5" customHeight="1"/>
    <row r="213" s="14" customFormat="1" ht="409.5" customHeight="1"/>
    <row r="214" s="14" customFormat="1" ht="409.5" customHeight="1"/>
    <row r="215" s="14" customFormat="1" ht="409.5" customHeight="1"/>
    <row r="216" s="14" customFormat="1" ht="409.5" customHeight="1"/>
    <row r="217" s="14" customFormat="1" ht="409.5" customHeight="1"/>
    <row r="218" s="14" customFormat="1" ht="409.5" customHeight="1"/>
    <row r="219" s="14" customFormat="1" ht="409.5" customHeight="1"/>
    <row r="220" s="14" customFormat="1" ht="409.5" customHeight="1"/>
    <row r="221" s="14" customFormat="1" ht="409.5" customHeight="1"/>
    <row r="222" s="14" customFormat="1" ht="409.5" customHeight="1"/>
    <row r="223" s="14" customFormat="1" ht="409.5" customHeight="1"/>
    <row r="224" s="14" customFormat="1" ht="409.5" customHeight="1"/>
    <row r="225" s="14" customFormat="1" ht="409.5" customHeight="1"/>
    <row r="226" s="14" customFormat="1" ht="409.5" customHeight="1"/>
    <row r="227" s="14" customFormat="1" ht="409.5" customHeight="1"/>
    <row r="228" s="14" customFormat="1" ht="409.5" customHeight="1"/>
    <row r="229" s="14" customFormat="1" ht="409.5" customHeight="1"/>
    <row r="230" s="14" customFormat="1" ht="409.5" customHeight="1"/>
    <row r="231" s="14" customFormat="1" ht="409.5" customHeight="1"/>
    <row r="232" s="14" customFormat="1" ht="409.5" customHeight="1"/>
    <row r="233" s="14" customFormat="1" ht="409.5" customHeight="1"/>
    <row r="234" s="14" customFormat="1" ht="409.5" customHeight="1"/>
    <row r="235" s="14" customFormat="1" ht="409.5" customHeight="1"/>
    <row r="236" s="14" customFormat="1" ht="409.5" customHeight="1"/>
    <row r="237" s="14" customFormat="1" ht="409.5" customHeight="1"/>
    <row r="238" s="14" customFormat="1" ht="409.5" customHeight="1"/>
    <row r="239" s="14" customFormat="1" ht="409.5" customHeight="1"/>
    <row r="240" s="14" customFormat="1" ht="409.5" customHeight="1"/>
    <row r="241" s="14" customFormat="1" ht="409.5" customHeight="1"/>
    <row r="242" s="14" customFormat="1" ht="409.5" customHeight="1"/>
    <row r="243" s="14" customFormat="1" ht="409.5" customHeight="1"/>
    <row r="244" s="14" customFormat="1" ht="409.5" customHeight="1"/>
    <row r="245" s="14" customFormat="1" ht="409.5" customHeight="1"/>
    <row r="246" s="14" customFormat="1" ht="409.5" customHeight="1"/>
    <row r="247" s="14" customFormat="1" ht="409.5" customHeight="1"/>
    <row r="248" s="14" customFormat="1" ht="409.5" customHeight="1"/>
    <row r="249" s="14" customFormat="1" ht="409.5" customHeight="1"/>
    <row r="250" s="14" customFormat="1" ht="409.5" customHeight="1"/>
    <row r="251" s="14" customFormat="1" ht="409.5" customHeight="1"/>
    <row r="252" s="14" customFormat="1" ht="409.5" customHeight="1"/>
    <row r="253" s="14" customFormat="1" ht="409.5" customHeight="1"/>
    <row r="254" s="14" customFormat="1" ht="409.5" customHeight="1"/>
    <row r="255" s="14" customFormat="1" ht="409.5" customHeight="1"/>
    <row r="256" s="14" customFormat="1" ht="409.5" customHeight="1"/>
    <row r="257" s="14" customFormat="1" ht="409.5" customHeight="1"/>
    <row r="258" s="14" customFormat="1" ht="409.5" customHeight="1"/>
    <row r="259" s="14" customFormat="1" ht="409.5" customHeight="1"/>
    <row r="260" s="14" customFormat="1" ht="409.5" customHeight="1"/>
    <row r="261" s="14" customFormat="1" ht="409.5" customHeight="1"/>
    <row r="262" s="14" customFormat="1" ht="409.5" customHeight="1"/>
    <row r="263" s="14" customFormat="1" ht="409.5" customHeight="1"/>
    <row r="264" s="14" customFormat="1" ht="409.5" customHeight="1"/>
    <row r="265" s="14" customFormat="1" ht="409.5" customHeight="1"/>
    <row r="266" s="14" customFormat="1" ht="409.5" customHeight="1"/>
    <row r="267" s="14" customFormat="1" ht="409.5" customHeight="1"/>
    <row r="268" s="14" customFormat="1" ht="409.5" customHeight="1"/>
    <row r="269" s="14" customFormat="1" ht="409.5" customHeight="1"/>
    <row r="270" s="14" customFormat="1" ht="409.5" customHeight="1"/>
    <row r="271" s="14" customFormat="1" ht="409.5" customHeight="1"/>
    <row r="272" s="14" customFormat="1" ht="409.5" customHeight="1"/>
    <row r="273" s="14" customFormat="1" ht="409.5" customHeight="1"/>
    <row r="274" s="14" customFormat="1" ht="409.5" customHeight="1"/>
    <row r="275" s="14" customFormat="1" ht="409.5" customHeight="1"/>
    <row r="276" s="14" customFormat="1" ht="409.5" customHeight="1"/>
    <row r="277" s="14" customFormat="1" ht="409.5" customHeight="1"/>
    <row r="278" s="14" customFormat="1" ht="409.5" customHeight="1"/>
    <row r="279" s="14" customFormat="1" ht="409.5" customHeight="1"/>
    <row r="280" s="14" customFormat="1" ht="409.5" customHeight="1"/>
    <row r="281" s="14" customFormat="1" ht="409.5" customHeight="1"/>
    <row r="282" s="14" customFormat="1" ht="409.5" customHeight="1"/>
    <row r="283" s="14" customFormat="1" ht="409.5" customHeight="1"/>
    <row r="284" s="14" customFormat="1" ht="409.5" customHeight="1"/>
    <row r="285" s="14" customFormat="1" ht="409.5" customHeight="1"/>
    <row r="286" s="14" customFormat="1" ht="409.5" customHeight="1"/>
    <row r="287" s="14" customFormat="1" ht="409.5" customHeight="1"/>
    <row r="288" s="14" customFormat="1" ht="409.5" customHeight="1"/>
    <row r="289" s="14" customFormat="1" ht="409.5" customHeight="1"/>
    <row r="290" s="14" customFormat="1" ht="409.5" customHeight="1"/>
    <row r="291" s="14" customFormat="1" ht="409.5" customHeight="1"/>
    <row r="292" s="14" customFormat="1" ht="409.5" customHeight="1"/>
    <row r="293" s="14" customFormat="1" ht="409.5" customHeight="1"/>
    <row r="294" s="14" customFormat="1" ht="409.5" customHeight="1"/>
    <row r="295" s="14" customFormat="1" ht="409.5" customHeight="1"/>
    <row r="296" s="14" customFormat="1" ht="409.5" customHeight="1"/>
    <row r="297" s="14" customFormat="1" ht="409.5" customHeight="1"/>
    <row r="298" s="14" customFormat="1" ht="409.5" customHeight="1"/>
    <row r="299" s="14" customFormat="1" ht="409.5" customHeight="1"/>
    <row r="300" s="14" customFormat="1" ht="409.5" customHeight="1"/>
    <row r="301" s="14" customFormat="1" ht="409.5" customHeight="1"/>
    <row r="302" s="14" customFormat="1" ht="409.5" customHeight="1"/>
    <row r="303" s="14" customFormat="1" ht="409.5" customHeight="1"/>
    <row r="304" s="14" customFormat="1" ht="409.5" customHeight="1"/>
    <row r="305" s="14" customFormat="1" ht="409.5" customHeight="1"/>
    <row r="306" s="14" customFormat="1" ht="409.5" customHeight="1"/>
    <row r="307" s="14" customFormat="1" ht="409.5" customHeight="1"/>
    <row r="308" s="14" customFormat="1" ht="409.5" customHeight="1"/>
    <row r="309" s="14" customFormat="1" ht="409.5" customHeight="1"/>
    <row r="310" s="14" customFormat="1" ht="409.5" customHeight="1"/>
    <row r="311" s="14" customFormat="1" ht="409.5" customHeight="1"/>
    <row r="312" s="14" customFormat="1" ht="409.5" customHeight="1"/>
    <row r="313" s="14" customFormat="1" ht="409.5" customHeight="1"/>
    <row r="314" s="14" customFormat="1" ht="409.5" customHeight="1"/>
    <row r="315" s="14" customFormat="1" ht="409.5" customHeight="1"/>
    <row r="316" s="14" customFormat="1" ht="409.5" customHeight="1"/>
    <row r="317" s="14" customFormat="1" ht="409.5" customHeight="1"/>
    <row r="318" s="14" customFormat="1" ht="409.5" customHeight="1"/>
    <row r="319" s="14" customFormat="1" ht="409.5" customHeight="1"/>
    <row r="320" s="14" customFormat="1" ht="409.5" customHeight="1"/>
    <row r="321" s="14" customFormat="1" ht="409.5" customHeight="1"/>
    <row r="322" s="14" customFormat="1" ht="409.5" customHeight="1"/>
    <row r="323" s="14" customFormat="1" ht="409.5" customHeight="1"/>
    <row r="324" s="14" customFormat="1" ht="409.5" customHeight="1"/>
    <row r="325" s="14" customFormat="1" ht="409.5" customHeight="1"/>
    <row r="326" s="14" customFormat="1" ht="409.5" customHeight="1"/>
    <row r="327" s="14" customFormat="1" ht="409.5" customHeight="1"/>
    <row r="328" s="14" customFormat="1" ht="409.5" customHeight="1"/>
    <row r="329" s="14" customFormat="1" ht="409.5" customHeight="1"/>
    <row r="330" s="14" customFormat="1" ht="409.5" customHeight="1"/>
    <row r="331" s="14" customFormat="1" ht="409.5" customHeight="1"/>
    <row r="332" s="14" customFormat="1" ht="409.5" customHeight="1"/>
    <row r="333" s="14" customFormat="1" ht="409.5" customHeight="1"/>
    <row r="334" s="14" customFormat="1" ht="409.5" customHeight="1"/>
    <row r="335" s="14" customFormat="1" ht="409.5" customHeight="1"/>
    <row r="336" s="14" customFormat="1" ht="409.5" customHeight="1"/>
    <row r="337" s="14" customFormat="1" ht="409.5" customHeight="1"/>
    <row r="338" s="14" customFormat="1" ht="409.5" customHeight="1"/>
    <row r="339" s="14" customFormat="1" ht="409.5" customHeight="1"/>
    <row r="340" s="14" customFormat="1" ht="409.5" customHeight="1"/>
    <row r="341" s="14" customFormat="1" ht="409.5" customHeight="1"/>
    <row r="342" s="14" customFormat="1" ht="409.5" customHeight="1"/>
    <row r="343" s="14" customFormat="1" ht="409.5" customHeight="1"/>
    <row r="344" s="14" customFormat="1" ht="409.5" customHeight="1"/>
    <row r="345" s="14" customFormat="1" ht="409.5" customHeight="1"/>
    <row r="346" s="14" customFormat="1" ht="409.5" customHeight="1"/>
    <row r="347" s="14" customFormat="1" ht="409.5" customHeight="1"/>
    <row r="348" s="14" customFormat="1" ht="409.5" customHeight="1"/>
    <row r="349" s="14" customFormat="1" ht="409.5" customHeight="1"/>
    <row r="350" s="14" customFormat="1" ht="409.5" customHeight="1"/>
    <row r="351" s="14" customFormat="1" ht="409.5" customHeight="1"/>
    <row r="352" s="14" customFormat="1" ht="409.5" customHeight="1"/>
    <row r="353" s="14" customFormat="1" ht="409.5" customHeight="1"/>
    <row r="354" s="14" customFormat="1" ht="409.5" customHeight="1"/>
    <row r="355" s="14" customFormat="1" ht="409.5" customHeight="1"/>
    <row r="356" s="14" customFormat="1" ht="409.5" customHeight="1"/>
    <row r="357" s="14" customFormat="1" ht="409.5" customHeight="1"/>
    <row r="358" s="14" customFormat="1" ht="409.5" customHeight="1"/>
    <row r="359" s="14" customFormat="1" ht="409.5" customHeight="1"/>
    <row r="360" s="14" customFormat="1" ht="409.5" customHeight="1"/>
    <row r="361" s="14" customFormat="1" ht="409.5" customHeight="1"/>
    <row r="362" s="14" customFormat="1" ht="409.5" customHeight="1"/>
    <row r="363" s="14" customFormat="1" ht="409.5" customHeight="1"/>
    <row r="364" s="14" customFormat="1" ht="409.5" customHeight="1"/>
    <row r="365" s="14" customFormat="1" ht="409.5" customHeight="1"/>
    <row r="366" s="14" customFormat="1" ht="409.5" customHeight="1"/>
    <row r="367" s="14" customFormat="1" ht="409.5" customHeight="1"/>
    <row r="368" s="14" customFormat="1" ht="409.5" customHeight="1"/>
    <row r="369" s="14" customFormat="1" ht="409.5" customHeight="1"/>
    <row r="370" s="14" customFormat="1" ht="409.5" customHeight="1"/>
    <row r="371" s="14" customFormat="1" ht="409.5" customHeight="1"/>
    <row r="372" s="14" customFormat="1" ht="409.5" customHeight="1"/>
    <row r="373" s="14" customFormat="1" ht="409.5" customHeight="1"/>
    <row r="374" s="14" customFormat="1" ht="409.5" customHeight="1"/>
    <row r="375" s="14" customFormat="1" ht="409.5" customHeight="1"/>
    <row r="376" s="14" customFormat="1" ht="409.5" customHeight="1"/>
    <row r="377" s="14" customFormat="1" ht="409.5" customHeight="1"/>
    <row r="378" s="14" customFormat="1" ht="409.5" customHeight="1"/>
    <row r="379" s="14" customFormat="1" ht="409.5" customHeight="1"/>
    <row r="380" s="14" customFormat="1" ht="409.5" customHeight="1"/>
    <row r="381" s="14" customFormat="1" ht="409.5" customHeight="1"/>
    <row r="382" s="14" customFormat="1" ht="409.5" customHeight="1"/>
    <row r="383" s="14" customFormat="1" ht="409.5" customHeight="1"/>
    <row r="384" s="14" customFormat="1" ht="409.5" customHeight="1"/>
    <row r="385" s="14" customFormat="1" ht="409.5" customHeight="1"/>
    <row r="386" s="14" customFormat="1" ht="409.5" customHeight="1"/>
    <row r="387" s="14" customFormat="1" ht="409.5" customHeight="1"/>
    <row r="388" s="14" customFormat="1" ht="409.5" customHeight="1"/>
    <row r="389" s="14" customFormat="1" ht="409.5" customHeight="1"/>
    <row r="390" s="14" customFormat="1" ht="409.5" customHeight="1"/>
    <row r="391" s="14" customFormat="1" ht="409.5" customHeight="1"/>
    <row r="392" s="14" customFormat="1" ht="409.5" customHeight="1"/>
    <row r="393" s="14" customFormat="1" ht="409.5" customHeight="1"/>
    <row r="394" s="14" customFormat="1" ht="409.5" customHeight="1"/>
    <row r="395" s="14" customFormat="1" ht="409.5" customHeight="1"/>
    <row r="396" s="14" customFormat="1" ht="409.5" customHeight="1"/>
    <row r="397" s="14" customFormat="1" ht="409.5" customHeight="1"/>
    <row r="398" s="14" customFormat="1" ht="409.5" customHeight="1"/>
    <row r="399" s="14" customFormat="1" ht="409.5" customHeight="1"/>
    <row r="400" s="14" customFormat="1" ht="409.5" customHeight="1"/>
    <row r="401" s="14" customFormat="1" ht="409.5" customHeight="1"/>
    <row r="402" s="14" customFormat="1" ht="409.5" customHeight="1"/>
    <row r="403" s="14" customFormat="1" ht="409.5" customHeight="1"/>
    <row r="404" s="14" customFormat="1" ht="409.5" customHeight="1"/>
    <row r="405" s="14" customFormat="1" ht="409.5" customHeight="1"/>
    <row r="406" s="14" customFormat="1" ht="409.5" customHeight="1"/>
    <row r="407" s="14" customFormat="1" ht="409.5" customHeight="1"/>
    <row r="408" s="14" customFormat="1" ht="409.5" customHeight="1"/>
    <row r="409" s="14" customFormat="1" ht="409.5" customHeight="1"/>
    <row r="410" s="14" customFormat="1" ht="409.5" customHeight="1"/>
    <row r="411" s="14" customFormat="1" ht="409.5" customHeight="1"/>
    <row r="412" s="14" customFormat="1" ht="409.5" customHeight="1"/>
    <row r="413" s="14" customFormat="1" ht="409.5" customHeight="1"/>
    <row r="414" s="14" customFormat="1" ht="409.5" customHeight="1"/>
    <row r="415" s="14" customFormat="1" ht="409.5" customHeight="1"/>
    <row r="416" s="14" customFormat="1" ht="409.5" customHeight="1"/>
    <row r="417" s="14" customFormat="1" ht="409.5" customHeight="1"/>
    <row r="418" s="14" customFormat="1" ht="409.5" customHeight="1"/>
    <row r="419" s="14" customFormat="1" ht="409.5" customHeight="1"/>
    <row r="420" s="14" customFormat="1" ht="409.5" customHeight="1"/>
    <row r="421" s="14" customFormat="1" ht="409.5" customHeight="1"/>
    <row r="422" s="14" customFormat="1" ht="409.5" customHeight="1"/>
    <row r="423" s="14" customFormat="1" ht="409.5" customHeight="1"/>
    <row r="424" s="14" customFormat="1" ht="409.5" customHeight="1"/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H106"/>
  <sheetViews>
    <sheetView showGridLines="0" showZeros="0" workbookViewId="0" topLeftCell="A2">
      <selection activeCell="A5" sqref="A5"/>
    </sheetView>
  </sheetViews>
  <sheetFormatPr defaultColWidth="8.7109375" defaultRowHeight="12.75"/>
  <cols>
    <col min="1" max="1" width="30.421875" style="73" customWidth="1"/>
    <col min="2" max="2" width="8.7109375" style="73" customWidth="1"/>
    <col min="3" max="3" width="13.421875" style="73" customWidth="1"/>
    <col min="4" max="4" width="12.140625" style="73" customWidth="1"/>
    <col min="5" max="8" width="11.7109375" style="73" customWidth="1"/>
    <col min="9" max="16384" width="8.7109375" style="73" customWidth="1"/>
  </cols>
  <sheetData>
    <row r="1" spans="1:8" ht="12.75">
      <c r="A1" s="63"/>
      <c r="B1" s="63"/>
      <c r="C1" s="53"/>
      <c r="D1" s="53"/>
      <c r="E1" s="53"/>
      <c r="F1" s="53"/>
      <c r="G1" s="54" t="s">
        <v>63</v>
      </c>
      <c r="H1" s="55" t="str">
        <f>+Pressupostos!E1</f>
        <v>XPTO, Lda</v>
      </c>
    </row>
    <row r="2" spans="1:8" ht="12.75">
      <c r="A2" s="63"/>
      <c r="B2" s="63"/>
      <c r="C2" s="63"/>
      <c r="D2" s="63"/>
      <c r="E2" s="63"/>
      <c r="F2" s="63"/>
      <c r="G2" s="63"/>
      <c r="H2" s="58" t="str">
        <f>+Pressupostos!B9</f>
        <v>Euros</v>
      </c>
    </row>
    <row r="3" spans="1:8" ht="12.75">
      <c r="A3" s="63"/>
      <c r="B3" s="63"/>
      <c r="C3" s="63"/>
      <c r="D3" s="63"/>
      <c r="E3" s="63"/>
      <c r="F3" s="63"/>
      <c r="G3" s="63"/>
      <c r="H3" s="58"/>
    </row>
    <row r="4" spans="1:8" ht="15.75">
      <c r="A4" s="511" t="s">
        <v>13</v>
      </c>
      <c r="B4" s="511"/>
      <c r="C4" s="511"/>
      <c r="D4" s="511"/>
      <c r="E4" s="511"/>
      <c r="F4" s="511"/>
      <c r="G4" s="511"/>
      <c r="H4" s="511"/>
    </row>
    <row r="5" spans="1:8" ht="9.75">
      <c r="A5" s="63"/>
      <c r="B5" s="63"/>
      <c r="C5" s="63"/>
      <c r="D5" s="63"/>
      <c r="E5" s="63"/>
      <c r="F5" s="63"/>
      <c r="G5" s="63"/>
      <c r="H5" s="63"/>
    </row>
    <row r="6" spans="1:8" ht="9.75">
      <c r="A6" s="63"/>
      <c r="B6" s="63"/>
      <c r="C6" s="63"/>
      <c r="D6" s="63"/>
      <c r="E6" s="63"/>
      <c r="F6" s="63"/>
      <c r="G6" s="63"/>
      <c r="H6" s="63"/>
    </row>
    <row r="7" spans="1:8" ht="9.75">
      <c r="A7" s="61"/>
      <c r="B7" s="84"/>
      <c r="C7" s="60">
        <f>+VN!C8</f>
        <v>2017</v>
      </c>
      <c r="D7" s="60">
        <f>+VN!D8</f>
        <v>2018</v>
      </c>
      <c r="E7" s="60">
        <f>+VN!E8</f>
        <v>2019</v>
      </c>
      <c r="F7" s="60">
        <f>+VN!F8</f>
        <v>2020</v>
      </c>
      <c r="G7" s="60">
        <f>+VN!G8</f>
        <v>2021</v>
      </c>
      <c r="H7" s="60">
        <f>+VN!H8</f>
        <v>2022</v>
      </c>
    </row>
    <row r="8" spans="1:8" ht="9.75">
      <c r="A8" s="153" t="s">
        <v>374</v>
      </c>
      <c r="B8" s="103"/>
      <c r="C8" s="117">
        <f>Investimento!C29+FundoManeio!C24</f>
        <v>95166</v>
      </c>
      <c r="D8" s="117">
        <f>Investimento!D29+FundoManeio!D24</f>
        <v>226.6999999999971</v>
      </c>
      <c r="E8" s="117">
        <f>Investimento!E29+FundoManeio!E24</f>
        <v>229.93180000000575</v>
      </c>
      <c r="F8" s="117">
        <f>Investimento!F29+FundoManeio!F24</f>
        <v>233.2152139999962</v>
      </c>
      <c r="G8" s="117">
        <f>Investimento!G29+FundoManeio!G24</f>
        <v>236.5511440600094</v>
      </c>
      <c r="H8" s="117">
        <f>Investimento!H29+FundoManeio!H24</f>
        <v>239.9405089789907</v>
      </c>
    </row>
    <row r="9" spans="1:8" ht="9.75">
      <c r="A9" s="141" t="s">
        <v>92</v>
      </c>
      <c r="B9" s="103"/>
      <c r="C9" s="34"/>
      <c r="D9" s="34"/>
      <c r="E9" s="34"/>
      <c r="F9" s="34"/>
      <c r="G9" s="34"/>
      <c r="H9" s="34"/>
    </row>
    <row r="10" spans="1:8" ht="10.5" thickBot="1">
      <c r="A10" s="192" t="s">
        <v>93</v>
      </c>
      <c r="B10" s="193"/>
      <c r="C10" s="160">
        <f aca="true" t="shared" si="0" ref="C10:H10">+ROUND(C8*(1+C9),-2)</f>
        <v>95200</v>
      </c>
      <c r="D10" s="160">
        <f t="shared" si="0"/>
        <v>200</v>
      </c>
      <c r="E10" s="160">
        <f t="shared" si="0"/>
        <v>200</v>
      </c>
      <c r="F10" s="160">
        <f t="shared" si="0"/>
        <v>200</v>
      </c>
      <c r="G10" s="160">
        <f t="shared" si="0"/>
        <v>200</v>
      </c>
      <c r="H10" s="160">
        <f t="shared" si="0"/>
        <v>200</v>
      </c>
    </row>
    <row r="11" spans="1:8" ht="10.5" thickTop="1">
      <c r="A11" s="63"/>
      <c r="B11" s="63"/>
      <c r="C11" s="194"/>
      <c r="D11" s="194"/>
      <c r="E11" s="194"/>
      <c r="F11" s="194"/>
      <c r="G11" s="194"/>
      <c r="H11" s="194"/>
    </row>
    <row r="12" spans="1:8" ht="9.75">
      <c r="A12" s="63"/>
      <c r="B12" s="63"/>
      <c r="C12" s="194"/>
      <c r="D12" s="194"/>
      <c r="E12" s="194"/>
      <c r="F12" s="194"/>
      <c r="G12" s="194"/>
      <c r="H12" s="194"/>
    </row>
    <row r="13" spans="1:8" ht="9.75">
      <c r="A13" s="153" t="s">
        <v>163</v>
      </c>
      <c r="B13" s="103"/>
      <c r="C13" s="60">
        <f aca="true" t="shared" si="1" ref="C13:H13">+C7</f>
        <v>2017</v>
      </c>
      <c r="D13" s="60">
        <f t="shared" si="1"/>
        <v>2018</v>
      </c>
      <c r="E13" s="60">
        <f t="shared" si="1"/>
        <v>2019</v>
      </c>
      <c r="F13" s="60">
        <f t="shared" si="1"/>
        <v>2020</v>
      </c>
      <c r="G13" s="60">
        <f t="shared" si="1"/>
        <v>2021</v>
      </c>
      <c r="H13" s="60">
        <f t="shared" si="1"/>
        <v>2022</v>
      </c>
    </row>
    <row r="14" spans="1:8" ht="9.75">
      <c r="A14" s="64" t="s">
        <v>111</v>
      </c>
      <c r="B14" s="103"/>
      <c r="C14" s="159">
        <f>IF(+'Cash Flow'!C12&gt;0,'Cash Flow'!C12,0)</f>
        <v>103324.09999999999</v>
      </c>
      <c r="D14" s="159">
        <f>IF(+'Cash Flow'!D12&gt;0,'Cash Flow'!D12,0)</f>
        <v>105203.76800000001</v>
      </c>
      <c r="E14" s="159">
        <f>IF(+'Cash Flow'!E12&gt;0,'Cash Flow'!E12,0)</f>
        <v>107110.64372000001</v>
      </c>
      <c r="F14" s="159">
        <f>IF(+'Cash Flow'!F12&gt;0,'Cash Flow'!F12,0)</f>
        <v>109045.167458</v>
      </c>
      <c r="G14" s="159">
        <f>IF(+'Cash Flow'!G12&gt;0,'Cash Flow'!G12,0)</f>
        <v>106007.78727939604</v>
      </c>
      <c r="H14" s="159">
        <f>IF(+'Cash Flow'!H12&gt;0,'Cash Flow'!H12,0)</f>
        <v>107998.95916194232</v>
      </c>
    </row>
    <row r="15" spans="1:8" ht="9.75">
      <c r="A15" s="64" t="s">
        <v>349</v>
      </c>
      <c r="B15" s="103"/>
      <c r="C15" s="51"/>
      <c r="D15" s="51"/>
      <c r="E15" s="51"/>
      <c r="F15" s="51"/>
      <c r="G15" s="51"/>
      <c r="H15" s="51"/>
    </row>
    <row r="16" spans="1:8" ht="9.75">
      <c r="A16" s="64" t="s">
        <v>373</v>
      </c>
      <c r="B16" s="103"/>
      <c r="C16" s="51"/>
      <c r="D16" s="51"/>
      <c r="E16" s="51"/>
      <c r="F16" s="51"/>
      <c r="G16" s="51"/>
      <c r="H16" s="51"/>
    </row>
    <row r="17" spans="1:8" ht="9.75">
      <c r="A17" s="64" t="s">
        <v>375</v>
      </c>
      <c r="B17" s="103"/>
      <c r="C17" s="51"/>
      <c r="D17" s="51"/>
      <c r="E17" s="51"/>
      <c r="F17" s="51"/>
      <c r="G17" s="51"/>
      <c r="H17" s="51"/>
    </row>
    <row r="18" spans="1:8" ht="9.75">
      <c r="A18" s="64" t="s">
        <v>198</v>
      </c>
      <c r="B18" s="84"/>
      <c r="C18" s="51"/>
      <c r="D18" s="51"/>
      <c r="E18" s="51"/>
      <c r="F18" s="51"/>
      <c r="G18" s="51"/>
      <c r="H18" s="51"/>
    </row>
    <row r="19" spans="1:8" ht="9.75">
      <c r="A19" s="344" t="s">
        <v>368</v>
      </c>
      <c r="B19" s="303"/>
      <c r="C19" s="45"/>
      <c r="D19" s="45"/>
      <c r="E19" s="45"/>
      <c r="F19" s="45"/>
      <c r="G19" s="45"/>
      <c r="H19" s="45"/>
    </row>
    <row r="20" spans="1:8" ht="14.25" customHeight="1" thickBot="1">
      <c r="A20" s="520" t="s">
        <v>94</v>
      </c>
      <c r="B20" s="522"/>
      <c r="C20" s="160">
        <f aca="true" t="shared" si="2" ref="C20:H20">SUM(C14:C19)</f>
        <v>103324.09999999999</v>
      </c>
      <c r="D20" s="160">
        <f t="shared" si="2"/>
        <v>105203.76800000001</v>
      </c>
      <c r="E20" s="160">
        <f t="shared" si="2"/>
        <v>107110.64372000001</v>
      </c>
      <c r="F20" s="160">
        <f t="shared" si="2"/>
        <v>109045.167458</v>
      </c>
      <c r="G20" s="160">
        <f t="shared" si="2"/>
        <v>106007.78727939604</v>
      </c>
      <c r="H20" s="160">
        <f t="shared" si="2"/>
        <v>107998.95916194232</v>
      </c>
    </row>
    <row r="21" spans="1:8" ht="10.5" thickTop="1">
      <c r="A21" s="63"/>
      <c r="B21" s="63"/>
      <c r="C21" s="195"/>
      <c r="D21" s="195"/>
      <c r="E21" s="195"/>
      <c r="F21" s="195"/>
      <c r="G21" s="195"/>
      <c r="H21" s="195"/>
    </row>
    <row r="22" spans="1:8" ht="9.75">
      <c r="A22" s="63" t="s">
        <v>254</v>
      </c>
      <c r="B22" s="462"/>
      <c r="C22" s="196"/>
      <c r="D22" s="196"/>
      <c r="E22" s="196"/>
      <c r="F22" s="196"/>
      <c r="G22" s="196"/>
      <c r="H22" s="196"/>
    </row>
    <row r="23" spans="1:8" ht="9.75">
      <c r="A23" s="63" t="s">
        <v>255</v>
      </c>
      <c r="B23" s="463"/>
      <c r="C23" s="196"/>
      <c r="D23" s="196"/>
      <c r="E23" s="196"/>
      <c r="F23" s="196"/>
      <c r="G23" s="196"/>
      <c r="H23" s="196"/>
    </row>
    <row r="24" spans="1:8" ht="9.75">
      <c r="A24" s="63" t="s">
        <v>414</v>
      </c>
      <c r="B24" s="462"/>
      <c r="C24" s="196"/>
      <c r="D24" s="196"/>
      <c r="E24" s="196"/>
      <c r="F24" s="196"/>
      <c r="G24" s="196"/>
      <c r="H24" s="196"/>
    </row>
    <row r="25" spans="1:8" ht="9.75">
      <c r="A25" s="63"/>
      <c r="B25" s="63"/>
      <c r="C25" s="63"/>
      <c r="D25" s="63"/>
      <c r="E25" s="63"/>
      <c r="F25" s="63"/>
      <c r="G25" s="63"/>
      <c r="H25" s="63"/>
    </row>
    <row r="26" spans="1:8" ht="9.75">
      <c r="A26" s="212">
        <f>+C13</f>
        <v>2017</v>
      </c>
      <c r="B26" s="63"/>
      <c r="C26" s="63"/>
      <c r="D26" s="63"/>
      <c r="E26" s="63"/>
      <c r="F26" s="63"/>
      <c r="G26" s="63"/>
      <c r="H26" s="63"/>
    </row>
    <row r="27" spans="1:8" ht="9.75">
      <c r="A27" s="64" t="s">
        <v>199</v>
      </c>
      <c r="B27" s="84"/>
      <c r="C27" s="198">
        <f>+C18</f>
        <v>0</v>
      </c>
      <c r="D27" s="159">
        <f>+C33</f>
        <v>0</v>
      </c>
      <c r="E27" s="159">
        <f>+D33</f>
        <v>0</v>
      </c>
      <c r="F27" s="159">
        <f>+E33</f>
        <v>0</v>
      </c>
      <c r="G27" s="159">
        <f>+F33</f>
        <v>0</v>
      </c>
      <c r="H27" s="159">
        <f>+G33</f>
        <v>0</v>
      </c>
    </row>
    <row r="28" spans="1:8" ht="9.75">
      <c r="A28" s="64" t="s">
        <v>10</v>
      </c>
      <c r="B28" s="84"/>
      <c r="C28" s="200">
        <f aca="true" t="shared" si="3" ref="C28:H28">$B$23</f>
        <v>0</v>
      </c>
      <c r="D28" s="200">
        <f t="shared" si="3"/>
        <v>0</v>
      </c>
      <c r="E28" s="200">
        <f t="shared" si="3"/>
        <v>0</v>
      </c>
      <c r="F28" s="200">
        <f t="shared" si="3"/>
        <v>0</v>
      </c>
      <c r="G28" s="200">
        <f t="shared" si="3"/>
        <v>0</v>
      </c>
      <c r="H28" s="200">
        <f t="shared" si="3"/>
        <v>0</v>
      </c>
    </row>
    <row r="29" spans="1:8" ht="9.75">
      <c r="A29" s="64" t="s">
        <v>11</v>
      </c>
      <c r="B29" s="84"/>
      <c r="C29" s="159">
        <f>+C27*C28*FSE!F8/12</f>
        <v>0</v>
      </c>
      <c r="D29" s="159">
        <f>+D27*D28</f>
        <v>0</v>
      </c>
      <c r="E29" s="159">
        <f>+E27*E28</f>
        <v>0</v>
      </c>
      <c r="F29" s="159">
        <f>+F27*F28</f>
        <v>0</v>
      </c>
      <c r="G29" s="159">
        <f>+G27*G28</f>
        <v>0</v>
      </c>
      <c r="H29" s="159">
        <f>+H27*H28</f>
        <v>0</v>
      </c>
    </row>
    <row r="30" spans="1:8" ht="9.75">
      <c r="A30" s="64" t="s">
        <v>12</v>
      </c>
      <c r="B30" s="84"/>
      <c r="C30" s="159">
        <f>IF(B24&gt;=0,0,C27/B22)</f>
        <v>0</v>
      </c>
      <c r="D30" s="159">
        <f>IF(B24&gt;=1,0,IF(C27=0,0,+$C$27/$B$22))</f>
        <v>0</v>
      </c>
      <c r="E30" s="159">
        <f>IF(B24&gt;=2,0,IF(D33&lt;=0,0,+$C$27/$B$22))</f>
        <v>0</v>
      </c>
      <c r="F30" s="159">
        <f>IF(B24&gt;=3,0,IF(E33&lt;=0,0,+$C$27/$B$22))</f>
        <v>0</v>
      </c>
      <c r="G30" s="159">
        <f>IF(B24&gt;=4,0,IF(F33&lt;=0,0,+$C$27/$B$22))</f>
        <v>0</v>
      </c>
      <c r="H30" s="159">
        <f>IF(B24&gt;=5,0,IF(G33&lt;=0,0,+$C$27/$B$22))</f>
        <v>0</v>
      </c>
    </row>
    <row r="31" spans="1:8" ht="9.75">
      <c r="A31" s="64" t="s">
        <v>169</v>
      </c>
      <c r="B31" s="84"/>
      <c r="C31" s="159">
        <f aca="true" t="shared" si="4" ref="C31:H31">+C29*0.004</f>
        <v>0</v>
      </c>
      <c r="D31" s="159">
        <f t="shared" si="4"/>
        <v>0</v>
      </c>
      <c r="E31" s="159">
        <f t="shared" si="4"/>
        <v>0</v>
      </c>
      <c r="F31" s="159">
        <f t="shared" si="4"/>
        <v>0</v>
      </c>
      <c r="G31" s="159">
        <f t="shared" si="4"/>
        <v>0</v>
      </c>
      <c r="H31" s="159">
        <f t="shared" si="4"/>
        <v>0</v>
      </c>
    </row>
    <row r="32" spans="1:8" ht="9.75">
      <c r="A32" s="64" t="s">
        <v>201</v>
      </c>
      <c r="B32" s="84"/>
      <c r="C32" s="159">
        <f aca="true" t="shared" si="5" ref="C32:H32">+C29+C30+C31</f>
        <v>0</v>
      </c>
      <c r="D32" s="159">
        <f t="shared" si="5"/>
        <v>0</v>
      </c>
      <c r="E32" s="159">
        <f t="shared" si="5"/>
        <v>0</v>
      </c>
      <c r="F32" s="159">
        <f t="shared" si="5"/>
        <v>0</v>
      </c>
      <c r="G32" s="159">
        <f t="shared" si="5"/>
        <v>0</v>
      </c>
      <c r="H32" s="159">
        <f t="shared" si="5"/>
        <v>0</v>
      </c>
    </row>
    <row r="33" spans="1:8" ht="9.75">
      <c r="A33" s="64" t="s">
        <v>200</v>
      </c>
      <c r="B33" s="84"/>
      <c r="C33" s="202">
        <f aca="true" t="shared" si="6" ref="C33:H33">+C27-C30</f>
        <v>0</v>
      </c>
      <c r="D33" s="159">
        <f t="shared" si="6"/>
        <v>0</v>
      </c>
      <c r="E33" s="159">
        <f t="shared" si="6"/>
        <v>0</v>
      </c>
      <c r="F33" s="159">
        <f t="shared" si="6"/>
        <v>0</v>
      </c>
      <c r="G33" s="159">
        <f t="shared" si="6"/>
        <v>0</v>
      </c>
      <c r="H33" s="159">
        <f t="shared" si="6"/>
        <v>0</v>
      </c>
    </row>
    <row r="34" spans="1:8" ht="9.75">
      <c r="A34" s="63"/>
      <c r="B34" s="63"/>
      <c r="C34" s="63"/>
      <c r="D34" s="63"/>
      <c r="E34" s="63"/>
      <c r="F34" s="63"/>
      <c r="G34" s="63"/>
      <c r="H34" s="63"/>
    </row>
    <row r="35" spans="1:8" ht="9.75">
      <c r="A35" s="63" t="s">
        <v>254</v>
      </c>
      <c r="B35" s="462"/>
      <c r="C35" s="63"/>
      <c r="D35" s="63"/>
      <c r="E35" s="63"/>
      <c r="F35" s="63"/>
      <c r="G35" s="63"/>
      <c r="H35" s="63"/>
    </row>
    <row r="36" spans="1:8" ht="9.75">
      <c r="A36" s="63" t="s">
        <v>255</v>
      </c>
      <c r="B36" s="463"/>
      <c r="C36" s="63"/>
      <c r="D36" s="63"/>
      <c r="E36" s="63"/>
      <c r="F36" s="63"/>
      <c r="G36" s="63"/>
      <c r="H36" s="63"/>
    </row>
    <row r="37" spans="1:8" ht="9.75">
      <c r="A37" s="63" t="s">
        <v>414</v>
      </c>
      <c r="B37" s="462"/>
      <c r="C37" s="63"/>
      <c r="D37" s="63"/>
      <c r="E37" s="63"/>
      <c r="F37" s="63"/>
      <c r="G37" s="63"/>
      <c r="H37" s="63"/>
    </row>
    <row r="38" spans="1:8" ht="9.75">
      <c r="A38" s="63"/>
      <c r="B38" s="63"/>
      <c r="C38" s="63"/>
      <c r="D38" s="63"/>
      <c r="E38" s="63"/>
      <c r="F38" s="63"/>
      <c r="G38" s="63"/>
      <c r="H38" s="63"/>
    </row>
    <row r="39" spans="1:8" ht="9.75">
      <c r="A39" s="212">
        <f>+D13</f>
        <v>2018</v>
      </c>
      <c r="B39" s="63"/>
      <c r="C39" s="63"/>
      <c r="D39" s="63"/>
      <c r="E39" s="63"/>
      <c r="F39" s="63"/>
      <c r="G39" s="63"/>
      <c r="H39" s="63"/>
    </row>
    <row r="40" spans="1:8" ht="9.75">
      <c r="A40" s="64" t="s">
        <v>199</v>
      </c>
      <c r="B40" s="84"/>
      <c r="C40" s="198"/>
      <c r="D40" s="159">
        <f>+D18</f>
        <v>0</v>
      </c>
      <c r="E40" s="159">
        <f>+D46</f>
        <v>0</v>
      </c>
      <c r="F40" s="159">
        <f>+E46</f>
        <v>0</v>
      </c>
      <c r="G40" s="159">
        <f>+F46</f>
        <v>0</v>
      </c>
      <c r="H40" s="159">
        <f>+G46</f>
        <v>0</v>
      </c>
    </row>
    <row r="41" spans="1:8" ht="9.75">
      <c r="A41" s="64" t="s">
        <v>10</v>
      </c>
      <c r="B41" s="84"/>
      <c r="C41" s="199"/>
      <c r="D41" s="200">
        <f>$B$36</f>
        <v>0</v>
      </c>
      <c r="E41" s="200">
        <f>$B$36</f>
        <v>0</v>
      </c>
      <c r="F41" s="200">
        <f>$B$36</f>
        <v>0</v>
      </c>
      <c r="G41" s="200">
        <f>$B$36</f>
        <v>0</v>
      </c>
      <c r="H41" s="200">
        <f>$B$36</f>
        <v>0</v>
      </c>
    </row>
    <row r="42" spans="1:8" ht="9.75">
      <c r="A42" s="64" t="s">
        <v>11</v>
      </c>
      <c r="B42" s="84"/>
      <c r="C42" s="201"/>
      <c r="D42" s="159">
        <f>+D40*D41</f>
        <v>0</v>
      </c>
      <c r="E42" s="159">
        <f>+E40*E41</f>
        <v>0</v>
      </c>
      <c r="F42" s="159">
        <f>+F40*F41</f>
        <v>0</v>
      </c>
      <c r="G42" s="159">
        <f>+G40*G41</f>
        <v>0</v>
      </c>
      <c r="H42" s="159">
        <f>+H40*H41</f>
        <v>0</v>
      </c>
    </row>
    <row r="43" spans="1:8" ht="9.75">
      <c r="A43" s="64" t="s">
        <v>12</v>
      </c>
      <c r="B43" s="84"/>
      <c r="C43" s="201"/>
      <c r="D43" s="159">
        <f>IF(B37&gt;=0,0,D40/B35)</f>
        <v>0</v>
      </c>
      <c r="E43" s="159">
        <f>IF(B37&gt;=1,0,IF(D46&lt;=0,0,+$D$40/$B$35))</f>
        <v>0</v>
      </c>
      <c r="F43" s="159">
        <f>IF(B37&gt;=2,0,IF(E46&lt;=0,0,+$D$40/$B$35))</f>
        <v>0</v>
      </c>
      <c r="G43" s="159">
        <f>IF(B37&gt;=3,0,IF(F46&lt;=0,0,+$D$40/$B$35))</f>
        <v>0</v>
      </c>
      <c r="H43" s="159">
        <f>IF(B37&gt;=4,0,IF(G46&lt;=0,0,+$D$40/$B$35))</f>
        <v>0</v>
      </c>
    </row>
    <row r="44" spans="1:8" ht="9.75">
      <c r="A44" s="64" t="s">
        <v>169</v>
      </c>
      <c r="B44" s="84"/>
      <c r="C44" s="201"/>
      <c r="D44" s="159">
        <f>0.004*D42</f>
        <v>0</v>
      </c>
      <c r="E44" s="159">
        <f>0.004*E42</f>
        <v>0</v>
      </c>
      <c r="F44" s="159">
        <f>0.004*F42</f>
        <v>0</v>
      </c>
      <c r="G44" s="159">
        <f>0.004*G42</f>
        <v>0</v>
      </c>
      <c r="H44" s="159">
        <f>0.004*H42</f>
        <v>0</v>
      </c>
    </row>
    <row r="45" spans="1:8" ht="9.75">
      <c r="A45" s="64" t="s">
        <v>201</v>
      </c>
      <c r="B45" s="84"/>
      <c r="C45" s="201"/>
      <c r="D45" s="159">
        <f>+D42+D43+D44</f>
        <v>0</v>
      </c>
      <c r="E45" s="159">
        <f>+E42+E43+E44</f>
        <v>0</v>
      </c>
      <c r="F45" s="159">
        <f>+F42+F43+F44</f>
        <v>0</v>
      </c>
      <c r="G45" s="159">
        <f>+G42+G43+G44</f>
        <v>0</v>
      </c>
      <c r="H45" s="159">
        <f>+H42+H43+H44</f>
        <v>0</v>
      </c>
    </row>
    <row r="46" spans="1:8" ht="9.75">
      <c r="A46" s="64" t="s">
        <v>200</v>
      </c>
      <c r="B46" s="84"/>
      <c r="C46" s="203"/>
      <c r="D46" s="159">
        <f>+D40-D43</f>
        <v>0</v>
      </c>
      <c r="E46" s="159">
        <f>+E40-E43</f>
        <v>0</v>
      </c>
      <c r="F46" s="159">
        <f>+F40-F43</f>
        <v>0</v>
      </c>
      <c r="G46" s="159">
        <f>+G40-G43</f>
        <v>0</v>
      </c>
      <c r="H46" s="159">
        <f>+H40-H43</f>
        <v>0</v>
      </c>
    </row>
    <row r="47" spans="1:8" ht="9.75">
      <c r="A47" s="63"/>
      <c r="B47" s="63"/>
      <c r="C47" s="63"/>
      <c r="D47" s="63"/>
      <c r="E47" s="63"/>
      <c r="F47" s="63"/>
      <c r="G47" s="63"/>
      <c r="H47" s="63"/>
    </row>
    <row r="48" spans="1:8" ht="9.75">
      <c r="A48" s="63" t="s">
        <v>254</v>
      </c>
      <c r="B48" s="462"/>
      <c r="C48" s="63"/>
      <c r="D48" s="63"/>
      <c r="E48" s="63"/>
      <c r="F48" s="63"/>
      <c r="G48" s="63"/>
      <c r="H48" s="63"/>
    </row>
    <row r="49" spans="1:8" ht="9.75">
      <c r="A49" s="63" t="s">
        <v>255</v>
      </c>
      <c r="B49" s="463"/>
      <c r="C49" s="63"/>
      <c r="D49" s="63"/>
      <c r="E49" s="63"/>
      <c r="F49" s="63"/>
      <c r="G49" s="63"/>
      <c r="H49" s="63"/>
    </row>
    <row r="50" spans="1:8" ht="9.75">
      <c r="A50" s="63" t="s">
        <v>414</v>
      </c>
      <c r="B50" s="462"/>
      <c r="C50" s="63"/>
      <c r="D50" s="63"/>
      <c r="E50" s="63"/>
      <c r="F50" s="63"/>
      <c r="G50" s="63"/>
      <c r="H50" s="63"/>
    </row>
    <row r="51" spans="1:8" ht="9.75">
      <c r="A51" s="63"/>
      <c r="B51" s="63"/>
      <c r="C51" s="63"/>
      <c r="D51" s="63"/>
      <c r="E51" s="63"/>
      <c r="F51" s="63"/>
      <c r="G51" s="63"/>
      <c r="H51" s="63"/>
    </row>
    <row r="52" spans="1:8" ht="9.75">
      <c r="A52" s="212">
        <f>+E13</f>
        <v>2019</v>
      </c>
      <c r="B52" s="63"/>
      <c r="C52" s="63"/>
      <c r="D52" s="63"/>
      <c r="E52" s="63"/>
      <c r="F52" s="63"/>
      <c r="G52" s="63"/>
      <c r="H52" s="63"/>
    </row>
    <row r="53" spans="1:8" ht="9.75">
      <c r="A53" s="64" t="s">
        <v>199</v>
      </c>
      <c r="B53" s="84"/>
      <c r="C53" s="204"/>
      <c r="D53" s="210"/>
      <c r="E53" s="159">
        <f>+E18</f>
        <v>0</v>
      </c>
      <c r="F53" s="159">
        <f>+E59</f>
        <v>0</v>
      </c>
      <c r="G53" s="159">
        <f>+F59</f>
        <v>0</v>
      </c>
      <c r="H53" s="159">
        <f>+G59</f>
        <v>0</v>
      </c>
    </row>
    <row r="54" spans="1:8" ht="9.75">
      <c r="A54" s="64" t="s">
        <v>10</v>
      </c>
      <c r="B54" s="84"/>
      <c r="C54" s="206"/>
      <c r="D54" s="207"/>
      <c r="E54" s="200">
        <f>$B$49</f>
        <v>0</v>
      </c>
      <c r="F54" s="200">
        <f>$B$49</f>
        <v>0</v>
      </c>
      <c r="G54" s="200">
        <f>$B$49</f>
        <v>0</v>
      </c>
      <c r="H54" s="200">
        <f>$B$49</f>
        <v>0</v>
      </c>
    </row>
    <row r="55" spans="1:8" ht="9.75">
      <c r="A55" s="64" t="s">
        <v>11</v>
      </c>
      <c r="B55" s="84"/>
      <c r="C55" s="208"/>
      <c r="D55" s="209"/>
      <c r="E55" s="159">
        <f>+E53*E54</f>
        <v>0</v>
      </c>
      <c r="F55" s="202">
        <f>+F53*F54</f>
        <v>0</v>
      </c>
      <c r="G55" s="202">
        <f>+G53*G54</f>
        <v>0</v>
      </c>
      <c r="H55" s="202">
        <f>+H53*H54</f>
        <v>0</v>
      </c>
    </row>
    <row r="56" spans="1:8" ht="9.75">
      <c r="A56" s="64" t="s">
        <v>12</v>
      </c>
      <c r="B56" s="84"/>
      <c r="C56" s="208"/>
      <c r="D56" s="209"/>
      <c r="E56" s="159">
        <f>IF(B50&gt;=0,0,E53/B48)</f>
        <v>0</v>
      </c>
      <c r="F56" s="159">
        <f>IF(B50&gt;=1,0,IF(E59&lt;=9,0,$E$53/$B$48))</f>
        <v>0</v>
      </c>
      <c r="G56" s="159">
        <f>IF(B50&gt;=2,0,IF(F59&lt;=9,0,$E$53/$B$48))</f>
        <v>0</v>
      </c>
      <c r="H56" s="159">
        <f>IF(B50&gt;=3,0,IF(G59&lt;=9,0,$E$53/$B$48))</f>
        <v>0</v>
      </c>
    </row>
    <row r="57" spans="1:8" ht="9.75">
      <c r="A57" s="64" t="s">
        <v>169</v>
      </c>
      <c r="B57" s="84"/>
      <c r="C57" s="208"/>
      <c r="D57" s="209"/>
      <c r="E57" s="159">
        <f>0.004*E55</f>
        <v>0</v>
      </c>
      <c r="F57" s="202">
        <f>0.004*F55</f>
        <v>0</v>
      </c>
      <c r="G57" s="202">
        <f>0.004*G55</f>
        <v>0</v>
      </c>
      <c r="H57" s="202">
        <f>0.004*H55</f>
        <v>0</v>
      </c>
    </row>
    <row r="58" spans="1:8" ht="9.75">
      <c r="A58" s="64" t="s">
        <v>201</v>
      </c>
      <c r="B58" s="84"/>
      <c r="C58" s="208"/>
      <c r="D58" s="209"/>
      <c r="E58" s="159">
        <f>+E55+E56+E57</f>
        <v>0</v>
      </c>
      <c r="F58" s="202">
        <f>+F55+F56+F57</f>
        <v>0</v>
      </c>
      <c r="G58" s="202">
        <f>+G55+G56+G57</f>
        <v>0</v>
      </c>
      <c r="H58" s="202">
        <f>+H55+H56+H57</f>
        <v>0</v>
      </c>
    </row>
    <row r="59" spans="1:8" ht="9.75">
      <c r="A59" s="64" t="s">
        <v>61</v>
      </c>
      <c r="B59" s="84"/>
      <c r="C59" s="203"/>
      <c r="D59" s="209"/>
      <c r="E59" s="159">
        <f>+E53-E56</f>
        <v>0</v>
      </c>
      <c r="F59" s="202">
        <f>+F53-F56</f>
        <v>0</v>
      </c>
      <c r="G59" s="202">
        <f>+G53-G56</f>
        <v>0</v>
      </c>
      <c r="H59" s="202">
        <f>+H53-H56</f>
        <v>0</v>
      </c>
    </row>
    <row r="60" spans="1:8" ht="9.75">
      <c r="A60" s="63"/>
      <c r="B60" s="63"/>
      <c r="C60" s="63"/>
      <c r="D60" s="63"/>
      <c r="E60" s="63"/>
      <c r="F60" s="63"/>
      <c r="G60" s="63"/>
      <c r="H60" s="63"/>
    </row>
    <row r="61" spans="1:8" ht="9.75">
      <c r="A61" s="63" t="s">
        <v>254</v>
      </c>
      <c r="B61" s="462"/>
      <c r="C61" s="63"/>
      <c r="D61" s="63"/>
      <c r="E61" s="63"/>
      <c r="F61" s="63"/>
      <c r="G61" s="63"/>
      <c r="H61" s="63"/>
    </row>
    <row r="62" spans="1:8" ht="9.75">
      <c r="A62" s="63" t="s">
        <v>255</v>
      </c>
      <c r="B62" s="463"/>
      <c r="C62" s="63"/>
      <c r="D62" s="63"/>
      <c r="E62" s="63"/>
      <c r="F62" s="63"/>
      <c r="G62" s="63"/>
      <c r="H62" s="63"/>
    </row>
    <row r="63" spans="1:8" ht="9.75">
      <c r="A63" s="63" t="s">
        <v>414</v>
      </c>
      <c r="B63" s="462"/>
      <c r="C63" s="63"/>
      <c r="D63" s="63"/>
      <c r="E63" s="63"/>
      <c r="F63" s="63"/>
      <c r="G63" s="63"/>
      <c r="H63" s="63"/>
    </row>
    <row r="64" spans="1:8" ht="9.75">
      <c r="A64" s="63"/>
      <c r="B64" s="407"/>
      <c r="C64" s="63"/>
      <c r="D64" s="63"/>
      <c r="E64" s="63"/>
      <c r="F64" s="63"/>
      <c r="G64" s="63"/>
      <c r="H64" s="63"/>
    </row>
    <row r="65" spans="1:8" ht="9.75">
      <c r="A65" s="212">
        <f>+F13</f>
        <v>2020</v>
      </c>
      <c r="B65" s="63"/>
      <c r="C65" s="63"/>
      <c r="D65" s="63"/>
      <c r="E65" s="63"/>
      <c r="F65" s="63"/>
      <c r="G65" s="63"/>
      <c r="H65" s="63"/>
    </row>
    <row r="66" spans="1:8" ht="9.75">
      <c r="A66" s="64" t="s">
        <v>199</v>
      </c>
      <c r="B66" s="84"/>
      <c r="C66" s="204"/>
      <c r="D66" s="210"/>
      <c r="E66" s="205"/>
      <c r="F66" s="159">
        <f>+F18</f>
        <v>0</v>
      </c>
      <c r="G66" s="159">
        <f>+F72</f>
        <v>0</v>
      </c>
      <c r="H66" s="159">
        <f>+G72</f>
        <v>0</v>
      </c>
    </row>
    <row r="67" spans="1:8" ht="9.75">
      <c r="A67" s="64" t="s">
        <v>10</v>
      </c>
      <c r="B67" s="84"/>
      <c r="C67" s="206"/>
      <c r="D67" s="207"/>
      <c r="E67" s="207"/>
      <c r="F67" s="200">
        <f>$B$62</f>
        <v>0</v>
      </c>
      <c r="G67" s="200">
        <f>$B$62</f>
        <v>0</v>
      </c>
      <c r="H67" s="200">
        <f>$B$62</f>
        <v>0</v>
      </c>
    </row>
    <row r="68" spans="1:8" ht="9.75">
      <c r="A68" s="64" t="s">
        <v>11</v>
      </c>
      <c r="B68" s="84"/>
      <c r="C68" s="208"/>
      <c r="D68" s="209"/>
      <c r="E68" s="209"/>
      <c r="F68" s="159">
        <f>+F66*F67</f>
        <v>0</v>
      </c>
      <c r="G68" s="202">
        <f>+G66*G67</f>
        <v>0</v>
      </c>
      <c r="H68" s="202">
        <f>+H66*H67</f>
        <v>0</v>
      </c>
    </row>
    <row r="69" spans="1:8" ht="9.75">
      <c r="A69" s="64" t="s">
        <v>12</v>
      </c>
      <c r="B69" s="84"/>
      <c r="C69" s="208"/>
      <c r="D69" s="209"/>
      <c r="E69" s="209"/>
      <c r="F69" s="159">
        <f>IF(B63&gt;=0,0,F66/B61)</f>
        <v>0</v>
      </c>
      <c r="G69" s="202">
        <f>IF(B63&gt;=1,0,IF(F72&lt;=0,0,$F$66/$B$61))</f>
        <v>0</v>
      </c>
      <c r="H69" s="202">
        <f>IF(B63&gt;=2,0,IF(G72&lt;=0,0,$F$66/$B$61))</f>
        <v>0</v>
      </c>
    </row>
    <row r="70" spans="1:8" ht="9.75">
      <c r="A70" s="64" t="s">
        <v>169</v>
      </c>
      <c r="B70" s="84"/>
      <c r="C70" s="208"/>
      <c r="D70" s="209"/>
      <c r="E70" s="209"/>
      <c r="F70" s="159">
        <f>+F68*0.004</f>
        <v>0</v>
      </c>
      <c r="G70" s="202">
        <f>+G68*0.004</f>
        <v>0</v>
      </c>
      <c r="H70" s="202">
        <f>+H68*0.004</f>
        <v>0</v>
      </c>
    </row>
    <row r="71" spans="1:8" ht="9.75">
      <c r="A71" s="64" t="s">
        <v>201</v>
      </c>
      <c r="B71" s="84"/>
      <c r="C71" s="208"/>
      <c r="D71" s="209"/>
      <c r="E71" s="209"/>
      <c r="F71" s="159">
        <f>+F68+F69+F70</f>
        <v>0</v>
      </c>
      <c r="G71" s="202">
        <f>+G68+G69+G70</f>
        <v>0</v>
      </c>
      <c r="H71" s="202">
        <f>+H68+H69+H70</f>
        <v>0</v>
      </c>
    </row>
    <row r="72" spans="1:8" ht="9.75">
      <c r="A72" s="64" t="s">
        <v>200</v>
      </c>
      <c r="B72" s="84"/>
      <c r="C72" s="203"/>
      <c r="D72" s="209"/>
      <c r="E72" s="209"/>
      <c r="F72" s="159">
        <f>+F66-F69</f>
        <v>0</v>
      </c>
      <c r="G72" s="202">
        <f>+G66-G69</f>
        <v>0</v>
      </c>
      <c r="H72" s="202">
        <f>+H66-H69</f>
        <v>0</v>
      </c>
    </row>
    <row r="73" spans="1:8" ht="9.75">
      <c r="A73" s="63"/>
      <c r="B73" s="63"/>
      <c r="C73" s="63"/>
      <c r="D73" s="63"/>
      <c r="E73" s="63"/>
      <c r="F73" s="63"/>
      <c r="G73" s="63"/>
      <c r="H73" s="63"/>
    </row>
    <row r="74" spans="1:8" ht="9.75">
      <c r="A74" s="63" t="s">
        <v>254</v>
      </c>
      <c r="B74" s="462"/>
      <c r="C74" s="63"/>
      <c r="D74" s="63"/>
      <c r="E74" s="63"/>
      <c r="F74" s="63"/>
      <c r="G74" s="63"/>
      <c r="H74" s="63"/>
    </row>
    <row r="75" spans="1:8" ht="9.75">
      <c r="A75" s="63" t="s">
        <v>255</v>
      </c>
      <c r="B75" s="463"/>
      <c r="C75" s="63"/>
      <c r="D75" s="63"/>
      <c r="E75" s="63"/>
      <c r="F75" s="63"/>
      <c r="G75" s="63"/>
      <c r="H75" s="63"/>
    </row>
    <row r="76" spans="1:8" ht="9.75">
      <c r="A76" s="63" t="s">
        <v>414</v>
      </c>
      <c r="B76" s="462"/>
      <c r="C76" s="63"/>
      <c r="D76" s="63"/>
      <c r="E76" s="63"/>
      <c r="F76" s="63"/>
      <c r="G76" s="63"/>
      <c r="H76" s="63"/>
    </row>
    <row r="77" spans="1:8" ht="9.75">
      <c r="A77" s="63"/>
      <c r="B77" s="63"/>
      <c r="C77" s="63"/>
      <c r="D77" s="63"/>
      <c r="E77" s="63"/>
      <c r="F77" s="63"/>
      <c r="G77" s="63"/>
      <c r="H77" s="63"/>
    </row>
    <row r="78" spans="1:8" ht="9.75">
      <c r="A78" s="212">
        <f>+G13</f>
        <v>2021</v>
      </c>
      <c r="B78" s="63"/>
      <c r="C78" s="63"/>
      <c r="D78" s="63"/>
      <c r="E78" s="63"/>
      <c r="F78" s="63"/>
      <c r="G78" s="63"/>
      <c r="H78" s="63"/>
    </row>
    <row r="79" spans="1:8" ht="9.75">
      <c r="A79" s="64" t="s">
        <v>199</v>
      </c>
      <c r="B79" s="84"/>
      <c r="C79" s="204"/>
      <c r="D79" s="210"/>
      <c r="E79" s="209"/>
      <c r="F79" s="210"/>
      <c r="G79" s="159">
        <f>+G18</f>
        <v>0</v>
      </c>
      <c r="H79" s="159">
        <f>+G85</f>
        <v>0</v>
      </c>
    </row>
    <row r="80" spans="1:8" ht="9.75">
      <c r="A80" s="64" t="s">
        <v>10</v>
      </c>
      <c r="B80" s="84"/>
      <c r="C80" s="206"/>
      <c r="D80" s="207"/>
      <c r="E80" s="207"/>
      <c r="F80" s="207"/>
      <c r="G80" s="200">
        <f>B75</f>
        <v>0</v>
      </c>
      <c r="H80" s="200">
        <f>B75</f>
        <v>0</v>
      </c>
    </row>
    <row r="81" spans="1:8" ht="9.75">
      <c r="A81" s="64" t="s">
        <v>11</v>
      </c>
      <c r="B81" s="84"/>
      <c r="C81" s="208"/>
      <c r="D81" s="209"/>
      <c r="E81" s="209"/>
      <c r="F81" s="209"/>
      <c r="G81" s="159">
        <f>+G79*G80</f>
        <v>0</v>
      </c>
      <c r="H81" s="202">
        <f>+H79*H80</f>
        <v>0</v>
      </c>
    </row>
    <row r="82" spans="1:8" ht="9.75">
      <c r="A82" s="64" t="s">
        <v>12</v>
      </c>
      <c r="B82" s="84"/>
      <c r="C82" s="208"/>
      <c r="D82" s="209"/>
      <c r="E82" s="209"/>
      <c r="F82" s="209"/>
      <c r="G82" s="159">
        <f>IF(B76&gt;=0,0,G79/B74)</f>
        <v>0</v>
      </c>
      <c r="H82" s="202">
        <f>IF(B76&gt;=1,0,IF(G85&lt;=0,0,$G$79/B74))</f>
        <v>0</v>
      </c>
    </row>
    <row r="83" spans="1:8" ht="9.75">
      <c r="A83" s="64" t="s">
        <v>169</v>
      </c>
      <c r="B83" s="84"/>
      <c r="C83" s="208"/>
      <c r="D83" s="209"/>
      <c r="E83" s="209"/>
      <c r="F83" s="209"/>
      <c r="G83" s="159">
        <f>+G81*0.004</f>
        <v>0</v>
      </c>
      <c r="H83" s="202">
        <f>+H81*0.004</f>
        <v>0</v>
      </c>
    </row>
    <row r="84" spans="1:8" ht="9.75">
      <c r="A84" s="64" t="s">
        <v>201</v>
      </c>
      <c r="B84" s="84"/>
      <c r="C84" s="208"/>
      <c r="D84" s="209"/>
      <c r="E84" s="209"/>
      <c r="F84" s="209"/>
      <c r="G84" s="159">
        <f>+G81+G82+G83</f>
        <v>0</v>
      </c>
      <c r="H84" s="202">
        <f>+H81+H82+H83</f>
        <v>0</v>
      </c>
    </row>
    <row r="85" spans="1:8" ht="9.75">
      <c r="A85" s="64" t="s">
        <v>200</v>
      </c>
      <c r="B85" s="84"/>
      <c r="C85" s="203"/>
      <c r="D85" s="209"/>
      <c r="E85" s="209"/>
      <c r="F85" s="209"/>
      <c r="G85" s="159">
        <f>+G79-G82</f>
        <v>0</v>
      </c>
      <c r="H85" s="159">
        <f>+H79-H82</f>
        <v>0</v>
      </c>
    </row>
    <row r="86" spans="1:8" ht="9.75">
      <c r="A86" s="63"/>
      <c r="B86" s="63"/>
      <c r="C86" s="63"/>
      <c r="D86" s="63"/>
      <c r="E86" s="63"/>
      <c r="F86" s="63"/>
      <c r="G86" s="63"/>
      <c r="H86" s="63"/>
    </row>
    <row r="87" spans="1:8" ht="9.75">
      <c r="A87" s="63" t="s">
        <v>254</v>
      </c>
      <c r="B87" s="462"/>
      <c r="C87" s="63"/>
      <c r="D87" s="63"/>
      <c r="E87" s="63"/>
      <c r="F87" s="63"/>
      <c r="G87" s="63"/>
      <c r="H87" s="63"/>
    </row>
    <row r="88" spans="1:8" ht="9.75">
      <c r="A88" s="63" t="s">
        <v>255</v>
      </c>
      <c r="B88" s="463"/>
      <c r="C88" s="63"/>
      <c r="D88" s="63"/>
      <c r="E88" s="63"/>
      <c r="F88" s="63"/>
      <c r="G88" s="63"/>
      <c r="H88" s="63"/>
    </row>
    <row r="89" spans="1:8" ht="9.75">
      <c r="A89" s="63" t="s">
        <v>414</v>
      </c>
      <c r="B89" s="462"/>
      <c r="C89" s="63"/>
      <c r="D89" s="63"/>
      <c r="E89" s="63"/>
      <c r="F89" s="63"/>
      <c r="G89" s="63"/>
      <c r="H89" s="63"/>
    </row>
    <row r="90" spans="1:8" ht="9.75">
      <c r="A90" s="63"/>
      <c r="B90" s="407"/>
      <c r="C90" s="63"/>
      <c r="D90" s="63"/>
      <c r="E90" s="63"/>
      <c r="F90" s="63"/>
      <c r="G90" s="63"/>
      <c r="H90" s="63"/>
    </row>
    <row r="91" spans="1:8" ht="9.75">
      <c r="A91" s="212">
        <f>+H13</f>
        <v>2022</v>
      </c>
      <c r="B91" s="63"/>
      <c r="C91" s="63"/>
      <c r="D91" s="63"/>
      <c r="E91" s="63"/>
      <c r="F91" s="63"/>
      <c r="G91" s="63"/>
      <c r="H91" s="63"/>
    </row>
    <row r="92" spans="1:8" ht="9.75">
      <c r="A92" s="64" t="s">
        <v>199</v>
      </c>
      <c r="B92" s="84"/>
      <c r="C92" s="204"/>
      <c r="D92" s="210"/>
      <c r="E92" s="210"/>
      <c r="F92" s="210"/>
      <c r="G92" s="210"/>
      <c r="H92" s="159">
        <f>+H18</f>
        <v>0</v>
      </c>
    </row>
    <row r="93" spans="1:8" ht="9.75">
      <c r="A93" s="64" t="s">
        <v>10</v>
      </c>
      <c r="B93" s="84"/>
      <c r="C93" s="206"/>
      <c r="D93" s="207"/>
      <c r="E93" s="207"/>
      <c r="F93" s="207"/>
      <c r="G93" s="207"/>
      <c r="H93" s="200">
        <f>B88</f>
        <v>0</v>
      </c>
    </row>
    <row r="94" spans="1:8" ht="9.75">
      <c r="A94" s="64" t="s">
        <v>11</v>
      </c>
      <c r="B94" s="84"/>
      <c r="C94" s="208"/>
      <c r="D94" s="209"/>
      <c r="E94" s="209"/>
      <c r="F94" s="209"/>
      <c r="G94" s="209"/>
      <c r="H94" s="159">
        <f>+H92*H93</f>
        <v>0</v>
      </c>
    </row>
    <row r="95" spans="1:8" ht="9.75">
      <c r="A95" s="64" t="s">
        <v>12</v>
      </c>
      <c r="B95" s="84"/>
      <c r="C95" s="208"/>
      <c r="D95" s="209"/>
      <c r="E95" s="209"/>
      <c r="F95" s="209"/>
      <c r="G95" s="209"/>
      <c r="H95" s="159">
        <f>IF(B89&gt;=0,0,H92/B87)</f>
        <v>0</v>
      </c>
    </row>
    <row r="96" spans="1:8" ht="9.75">
      <c r="A96" s="64" t="s">
        <v>169</v>
      </c>
      <c r="B96" s="84"/>
      <c r="C96" s="208"/>
      <c r="D96" s="209"/>
      <c r="E96" s="209"/>
      <c r="F96" s="209"/>
      <c r="G96" s="209"/>
      <c r="H96" s="159">
        <f>0.004*H94</f>
        <v>0</v>
      </c>
    </row>
    <row r="97" spans="1:8" ht="9.75">
      <c r="A97" s="64" t="s">
        <v>201</v>
      </c>
      <c r="B97" s="84"/>
      <c r="C97" s="208"/>
      <c r="D97" s="209"/>
      <c r="E97" s="209"/>
      <c r="F97" s="209"/>
      <c r="G97" s="209"/>
      <c r="H97" s="159">
        <f>+H94+H95+H96</f>
        <v>0</v>
      </c>
    </row>
    <row r="98" spans="1:8" ht="9.75">
      <c r="A98" s="64" t="s">
        <v>200</v>
      </c>
      <c r="B98" s="84"/>
      <c r="C98" s="203"/>
      <c r="D98" s="209"/>
      <c r="E98" s="209"/>
      <c r="F98" s="209"/>
      <c r="G98" s="209"/>
      <c r="H98" s="159">
        <f>+H92-H95</f>
        <v>0</v>
      </c>
    </row>
    <row r="99" spans="1:8" ht="9.75">
      <c r="A99" s="63"/>
      <c r="B99" s="63"/>
      <c r="C99" s="63"/>
      <c r="D99" s="63"/>
      <c r="E99" s="63"/>
      <c r="F99" s="63"/>
      <c r="G99" s="63"/>
      <c r="H99" s="63"/>
    </row>
    <row r="100" spans="1:8" ht="9.75">
      <c r="A100" s="63"/>
      <c r="B100" s="63"/>
      <c r="C100" s="63"/>
      <c r="D100" s="211"/>
      <c r="E100" s="63"/>
      <c r="F100" s="63"/>
      <c r="G100" s="63"/>
      <c r="H100" s="63"/>
    </row>
    <row r="101" spans="1:8" ht="9.75">
      <c r="A101" s="153" t="s">
        <v>202</v>
      </c>
      <c r="B101" s="103"/>
      <c r="C101" s="117">
        <f aca="true" t="shared" si="7" ref="C101:H101">+C33+C46+C59+C72+C85+C98</f>
        <v>0</v>
      </c>
      <c r="D101" s="117">
        <f t="shared" si="7"/>
        <v>0</v>
      </c>
      <c r="E101" s="117">
        <f t="shared" si="7"/>
        <v>0</v>
      </c>
      <c r="F101" s="117">
        <f t="shared" si="7"/>
        <v>0</v>
      </c>
      <c r="G101" s="117">
        <f t="shared" si="7"/>
        <v>0</v>
      </c>
      <c r="H101" s="117">
        <f t="shared" si="7"/>
        <v>0</v>
      </c>
    </row>
    <row r="102" spans="1:8" ht="9.75">
      <c r="A102" s="63"/>
      <c r="B102" s="63"/>
      <c r="C102" s="63"/>
      <c r="D102" s="63"/>
      <c r="E102" s="63"/>
      <c r="F102" s="63"/>
      <c r="G102" s="63"/>
      <c r="H102" s="63"/>
    </row>
    <row r="103" spans="1:8" ht="9.75">
      <c r="A103" s="153" t="s">
        <v>203</v>
      </c>
      <c r="B103" s="103"/>
      <c r="C103" s="117">
        <f aca="true" t="shared" si="8" ref="C103:H103">+C29+C42+C55+C68+C81+C94+C31+C44+C57+C70+C83+C96</f>
        <v>0</v>
      </c>
      <c r="D103" s="117">
        <f t="shared" si="8"/>
        <v>0</v>
      </c>
      <c r="E103" s="117">
        <f t="shared" si="8"/>
        <v>0</v>
      </c>
      <c r="F103" s="117">
        <f t="shared" si="8"/>
        <v>0</v>
      </c>
      <c r="G103" s="117">
        <f t="shared" si="8"/>
        <v>0</v>
      </c>
      <c r="H103" s="117">
        <f t="shared" si="8"/>
        <v>0</v>
      </c>
    </row>
    <row r="104" spans="1:8" ht="9.75">
      <c r="A104" s="153" t="s">
        <v>115</v>
      </c>
      <c r="B104" s="103"/>
      <c r="C104" s="117">
        <f aca="true" t="shared" si="9" ref="C104:H104">+C30+C43+C56+C69+C82+C95</f>
        <v>0</v>
      </c>
      <c r="D104" s="117">
        <f t="shared" si="9"/>
        <v>0</v>
      </c>
      <c r="E104" s="117">
        <f t="shared" si="9"/>
        <v>0</v>
      </c>
      <c r="F104" s="117">
        <f t="shared" si="9"/>
        <v>0</v>
      </c>
      <c r="G104" s="117">
        <f t="shared" si="9"/>
        <v>0</v>
      </c>
      <c r="H104" s="117">
        <f t="shared" si="9"/>
        <v>0</v>
      </c>
    </row>
    <row r="106" spans="5:8" ht="9.75">
      <c r="E106" s="170"/>
      <c r="F106" s="170"/>
      <c r="G106" s="170"/>
      <c r="H106" s="170"/>
    </row>
  </sheetData>
  <sheetProtection password="8318" sheet="1"/>
  <mergeCells count="2">
    <mergeCell ref="A4:H4"/>
    <mergeCell ref="A20:B20"/>
  </mergeCells>
  <printOptions horizontalCentered="1"/>
  <pageMargins left="0.15748031496062992" right="0.15748031496062992" top="0.3937007874015748" bottom="0.3937007874015748" header="0.31496062992125984" footer="0.1968503937007874"/>
  <pageSetup horizontalDpi="600" verticalDpi="600" orientation="portrait" paperSize="9" scale="75"/>
  <headerFooter alignWithMargins="0">
    <oddFooter>&amp;C&amp;"Arial,Normal"&amp;8IAPMEI&amp;R&amp;"Arial,Normal"&amp;8&amp;P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G13"/>
  <sheetViews>
    <sheetView showGridLines="0" showZeros="0" workbookViewId="0" topLeftCell="A1">
      <selection activeCell="B9" sqref="B9"/>
    </sheetView>
  </sheetViews>
  <sheetFormatPr defaultColWidth="8.7109375" defaultRowHeight="12.75"/>
  <cols>
    <col min="1" max="1" width="53.7109375" style="73" customWidth="1"/>
    <col min="2" max="6" width="11.421875" style="73" customWidth="1"/>
    <col min="7" max="7" width="11.8515625" style="73" customWidth="1"/>
    <col min="8" max="16384" width="8.7109375" style="73" customWidth="1"/>
  </cols>
  <sheetData>
    <row r="1" spans="1:7" ht="12.75">
      <c r="A1" s="63"/>
      <c r="B1" s="63"/>
      <c r="C1" s="96"/>
      <c r="D1" s="53"/>
      <c r="E1" s="53"/>
      <c r="F1" s="98" t="s">
        <v>63</v>
      </c>
      <c r="G1" s="98" t="str">
        <f>+Pressupostos!E1</f>
        <v>XPTO, Lda</v>
      </c>
    </row>
    <row r="2" spans="1:7" ht="12.75">
      <c r="A2" s="63"/>
      <c r="B2" s="63"/>
      <c r="C2" s="63"/>
      <c r="D2" s="63"/>
      <c r="E2" s="63"/>
      <c r="F2" s="63"/>
      <c r="G2" s="58" t="str">
        <f>+Pressupostos!B9</f>
        <v>Euros</v>
      </c>
    </row>
    <row r="3" spans="1:7" ht="12.75">
      <c r="A3" s="63"/>
      <c r="B3" s="63"/>
      <c r="C3" s="63"/>
      <c r="D3" s="63"/>
      <c r="E3" s="63"/>
      <c r="F3" s="63"/>
      <c r="G3" s="58"/>
    </row>
    <row r="4" spans="1:7" ht="15.75">
      <c r="A4" s="511" t="s">
        <v>408</v>
      </c>
      <c r="B4" s="511"/>
      <c r="C4" s="511"/>
      <c r="D4" s="511"/>
      <c r="E4" s="511"/>
      <c r="F4" s="511"/>
      <c r="G4" s="511"/>
    </row>
    <row r="5" spans="1:7" ht="9.75">
      <c r="A5" s="63"/>
      <c r="B5" s="152"/>
      <c r="C5" s="63"/>
      <c r="D5" s="63"/>
      <c r="E5" s="63"/>
      <c r="F5" s="63"/>
      <c r="G5" s="63"/>
    </row>
    <row r="6" spans="1:7" ht="9.75">
      <c r="A6" s="63"/>
      <c r="B6" s="213"/>
      <c r="C6" s="63"/>
      <c r="D6" s="63"/>
      <c r="E6" s="63"/>
      <c r="F6" s="63"/>
      <c r="G6" s="63"/>
    </row>
    <row r="7" spans="1:7" ht="9.75">
      <c r="A7" s="141"/>
      <c r="B7" s="60">
        <f>+VN!C8</f>
        <v>2017</v>
      </c>
      <c r="C7" s="60">
        <f>+VN!D8</f>
        <v>2018</v>
      </c>
      <c r="D7" s="60">
        <f>+VN!E8</f>
        <v>2019</v>
      </c>
      <c r="E7" s="60">
        <f>+VN!F8</f>
        <v>2020</v>
      </c>
      <c r="F7" s="60">
        <f>+VN!G8</f>
        <v>2021</v>
      </c>
      <c r="G7" s="60">
        <f>+VN!H8</f>
        <v>2022</v>
      </c>
    </row>
    <row r="8" spans="1:7" ht="9.75">
      <c r="A8" s="129" t="str">
        <f>'DR'!A8</f>
        <v>Vendas e serviços prestados</v>
      </c>
      <c r="B8" s="395">
        <f>'DR'!B8</f>
        <v>276000</v>
      </c>
      <c r="C8" s="395">
        <f>'DR'!C8</f>
        <v>279480</v>
      </c>
      <c r="D8" s="395">
        <f>'DR'!D8</f>
        <v>283009.2</v>
      </c>
      <c r="E8" s="395">
        <f>'DR'!E8</f>
        <v>286588.38</v>
      </c>
      <c r="F8" s="395">
        <f>'DR'!F8</f>
        <v>290218.33356000006</v>
      </c>
      <c r="G8" s="395">
        <f>'DR'!G8</f>
        <v>293899.86805080005</v>
      </c>
    </row>
    <row r="9" spans="1:7" ht="9.75">
      <c r="A9" s="141" t="str">
        <f>'DR'!A11</f>
        <v>Variação nos inventários da produção</v>
      </c>
      <c r="B9" s="395">
        <f>'DR'!B11</f>
        <v>0</v>
      </c>
      <c r="C9" s="395">
        <f>'DR'!C11</f>
        <v>0</v>
      </c>
      <c r="D9" s="395">
        <f>'DR'!D11</f>
        <v>0</v>
      </c>
      <c r="E9" s="395">
        <f>'DR'!E11</f>
        <v>0</v>
      </c>
      <c r="F9" s="395">
        <f>'DR'!F11</f>
        <v>0</v>
      </c>
      <c r="G9" s="395">
        <f>'DR'!G11</f>
        <v>0</v>
      </c>
    </row>
    <row r="10" spans="1:7" ht="9.75">
      <c r="A10" s="141" t="s">
        <v>20</v>
      </c>
      <c r="B10" s="395">
        <f>'DR'!B13</f>
        <v>75600</v>
      </c>
      <c r="C10" s="395">
        <f>'DR'!C13</f>
        <v>76500</v>
      </c>
      <c r="D10" s="395">
        <f>'DR'!D13</f>
        <v>77411.88000000002</v>
      </c>
      <c r="E10" s="395">
        <f>'DR'!E13</f>
        <v>78335.81640000001</v>
      </c>
      <c r="F10" s="395">
        <f>'DR'!F13</f>
        <v>79271.98851600001</v>
      </c>
      <c r="G10" s="395">
        <f>'DR'!G13</f>
        <v>80220.57863220002</v>
      </c>
    </row>
    <row r="11" spans="1:7" ht="9.75">
      <c r="A11" s="141" t="s">
        <v>406</v>
      </c>
      <c r="B11" s="395">
        <f>FSE!F47</f>
        <v>0</v>
      </c>
      <c r="C11" s="395">
        <f>FSE!G47</f>
        <v>0</v>
      </c>
      <c r="D11" s="395">
        <f>FSE!H47</f>
        <v>0</v>
      </c>
      <c r="E11" s="395">
        <f>FSE!I47</f>
        <v>0</v>
      </c>
      <c r="F11" s="395">
        <f>FSE!J47</f>
        <v>0</v>
      </c>
      <c r="G11" s="395">
        <f>FSE!K47</f>
        <v>0</v>
      </c>
    </row>
    <row r="12" spans="1:7" ht="9.75">
      <c r="A12" s="393" t="s">
        <v>405</v>
      </c>
      <c r="B12" s="396">
        <f aca="true" t="shared" si="0" ref="B12:G12">B8+B9-B10-B11</f>
        <v>200400</v>
      </c>
      <c r="C12" s="396">
        <f t="shared" si="0"/>
        <v>202980</v>
      </c>
      <c r="D12" s="396">
        <f t="shared" si="0"/>
        <v>205597.32</v>
      </c>
      <c r="E12" s="396">
        <f t="shared" si="0"/>
        <v>208252.5636</v>
      </c>
      <c r="F12" s="396">
        <f t="shared" si="0"/>
        <v>210946.34504400005</v>
      </c>
      <c r="G12" s="396">
        <f t="shared" si="0"/>
        <v>213679.28941860003</v>
      </c>
    </row>
    <row r="13" spans="1:7" ht="9.75">
      <c r="A13" s="394" t="s">
        <v>407</v>
      </c>
      <c r="B13" s="479">
        <f>IF(B8&gt;0,(FSE!F45+'DR'!B15+'DR'!B24+'DR'!B25+'DR'!B18)/(B12/'Ponto Crítico'!B8),"")</f>
        <v>114931.13772455089</v>
      </c>
      <c r="C13" s="479">
        <f>IF(C8&gt;0,(FSE!G45+'DR'!C15+'DR'!C24+'DR'!C25+'DR'!C18)/(C12/'Ponto Crítico'!C8),"")</f>
        <v>114901.00502512563</v>
      </c>
      <c r="D13" s="479">
        <f>IF(D8&gt;0,(FSE!H45+'DR'!D15+'DR'!D24+'DR'!D25+'DR'!D18)/(D12/'Ponto Crítico'!D8),"")</f>
        <v>114870.74705059385</v>
      </c>
      <c r="E13" s="479">
        <f>IF(E8&gt;0,(FSE!I45+'DR'!E15+'DR'!E24+'DR'!E25+'DR'!E18)/(E12/'Ponto Crítico'!E8),"")</f>
        <v>114840.3644957579</v>
      </c>
      <c r="F13" s="479">
        <f>IF(F8&gt;0,(FSE!J45+'DR'!F15+'DR'!F24+'DR'!F25+'DR'!F18)/(F12/'Ponto Crítico'!F8),"")</f>
        <v>87294.01431696322</v>
      </c>
      <c r="G13" s="479">
        <f>IF(G8&gt;0,(FSE!K45+'DR'!G15+'DR'!G24+'DR'!G25+'DR'!G18)/(G12/'Ponto Crítico'!G8),"")</f>
        <v>87270.72557458638</v>
      </c>
    </row>
  </sheetData>
  <sheetProtection password="8318" sheet="1" objects="1" scenarios="1"/>
  <mergeCells count="1">
    <mergeCell ref="A4:G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/>
  <headerFooter alignWithMargins="0">
    <oddFooter>&amp;C&amp;"Arial,Normal"&amp;8IAPMEI&amp;R&amp;"Arial,Normal"&amp;8&amp;P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G33"/>
  <sheetViews>
    <sheetView showGridLines="0" showZeros="0" zoomScale="150" zoomScaleNormal="150" workbookViewId="0" topLeftCell="A13">
      <selection activeCell="B30" sqref="B30"/>
    </sheetView>
  </sheetViews>
  <sheetFormatPr defaultColWidth="8.7109375" defaultRowHeight="12.75"/>
  <cols>
    <col min="1" max="1" width="53.7109375" style="73" customWidth="1"/>
    <col min="2" max="6" width="11.421875" style="73" customWidth="1"/>
    <col min="7" max="7" width="11.8515625" style="73" customWidth="1"/>
    <col min="8" max="16384" width="8.7109375" style="73" customWidth="1"/>
  </cols>
  <sheetData>
    <row r="1" spans="1:7" ht="12.75">
      <c r="A1" s="63"/>
      <c r="B1" s="63"/>
      <c r="C1" s="96"/>
      <c r="D1" s="53"/>
      <c r="E1" s="53"/>
      <c r="F1" s="98" t="s">
        <v>63</v>
      </c>
      <c r="G1" s="98" t="str">
        <f>+Pressupostos!E1</f>
        <v>XPTO, Lda</v>
      </c>
    </row>
    <row r="2" spans="1:7" ht="12.75">
      <c r="A2" s="63"/>
      <c r="B2" s="63"/>
      <c r="C2" s="63"/>
      <c r="D2" s="63"/>
      <c r="E2" s="63"/>
      <c r="F2" s="63"/>
      <c r="G2" s="58" t="str">
        <f>+Pressupostos!B9</f>
        <v>Euros</v>
      </c>
    </row>
    <row r="3" spans="1:7" ht="12.75">
      <c r="A3" s="63"/>
      <c r="B3" s="63"/>
      <c r="C3" s="63"/>
      <c r="D3" s="63"/>
      <c r="E3" s="63"/>
      <c r="F3" s="63"/>
      <c r="G3" s="58"/>
    </row>
    <row r="4" spans="1:7" ht="15.75">
      <c r="A4" s="511" t="s">
        <v>56</v>
      </c>
      <c r="B4" s="511"/>
      <c r="C4" s="511"/>
      <c r="D4" s="511"/>
      <c r="E4" s="511"/>
      <c r="F4" s="511"/>
      <c r="G4" s="511"/>
    </row>
    <row r="5" spans="1:7" ht="9.75">
      <c r="A5" s="63"/>
      <c r="B5" s="152"/>
      <c r="C5" s="63"/>
      <c r="D5" s="63"/>
      <c r="E5" s="63"/>
      <c r="F5" s="63"/>
      <c r="G5" s="63"/>
    </row>
    <row r="6" spans="1:7" ht="9.75">
      <c r="A6" s="63"/>
      <c r="B6" s="213"/>
      <c r="C6" s="63"/>
      <c r="D6" s="63"/>
      <c r="E6" s="63"/>
      <c r="F6" s="63"/>
      <c r="G6" s="63"/>
    </row>
    <row r="7" spans="1:7" ht="9.75">
      <c r="A7" s="141"/>
      <c r="B7" s="60">
        <f>+VN!C8</f>
        <v>2017</v>
      </c>
      <c r="C7" s="60">
        <f>+VN!D8</f>
        <v>2018</v>
      </c>
      <c r="D7" s="60">
        <f>+VN!E8</f>
        <v>2019</v>
      </c>
      <c r="E7" s="60">
        <f>+VN!F8</f>
        <v>2020</v>
      </c>
      <c r="F7" s="60">
        <f>+VN!G8</f>
        <v>2021</v>
      </c>
      <c r="G7" s="60">
        <f>+VN!H8</f>
        <v>2022</v>
      </c>
    </row>
    <row r="8" spans="1:7" ht="9.75">
      <c r="A8" s="141" t="s">
        <v>283</v>
      </c>
      <c r="B8" s="214">
        <f>+VN!C80</f>
        <v>276000</v>
      </c>
      <c r="C8" s="214">
        <f>+VN!D80</f>
        <v>279480</v>
      </c>
      <c r="D8" s="214">
        <f>+VN!E80</f>
        <v>283009.2</v>
      </c>
      <c r="E8" s="214">
        <f>+VN!F80</f>
        <v>286588.38</v>
      </c>
      <c r="F8" s="214">
        <f>+VN!G80</f>
        <v>290218.33356000006</v>
      </c>
      <c r="G8" s="214">
        <f>+VN!H80</f>
        <v>293899.86805080005</v>
      </c>
    </row>
    <row r="9" spans="1:7" ht="9.75">
      <c r="A9" s="141" t="s">
        <v>284</v>
      </c>
      <c r="B9" s="3"/>
      <c r="C9" s="3"/>
      <c r="D9" s="3"/>
      <c r="E9" s="3"/>
      <c r="F9" s="3"/>
      <c r="G9" s="3"/>
    </row>
    <row r="10" spans="1:7" ht="9.75">
      <c r="A10" s="119" t="s">
        <v>285</v>
      </c>
      <c r="B10" s="3"/>
      <c r="C10" s="3"/>
      <c r="D10" s="3"/>
      <c r="E10" s="3"/>
      <c r="F10" s="3"/>
      <c r="G10" s="3"/>
    </row>
    <row r="11" spans="1:7" ht="9.75">
      <c r="A11" s="141" t="s">
        <v>294</v>
      </c>
      <c r="B11" s="3"/>
      <c r="C11" s="3"/>
      <c r="D11" s="3"/>
      <c r="E11" s="3"/>
      <c r="F11" s="3"/>
      <c r="G11" s="3"/>
    </row>
    <row r="12" spans="1:7" ht="9.75">
      <c r="A12" s="141" t="s">
        <v>282</v>
      </c>
      <c r="B12" s="3"/>
      <c r="C12" s="3"/>
      <c r="D12" s="3"/>
      <c r="E12" s="3"/>
      <c r="F12" s="3"/>
      <c r="G12" s="3"/>
    </row>
    <row r="13" spans="1:7" ht="9.75">
      <c r="A13" s="141" t="s">
        <v>20</v>
      </c>
      <c r="B13" s="214">
        <f>+CMVMC!C16</f>
        <v>75600</v>
      </c>
      <c r="C13" s="214">
        <f>+CMVMC!D16</f>
        <v>76500</v>
      </c>
      <c r="D13" s="214">
        <f>+CMVMC!E16</f>
        <v>77411.88000000002</v>
      </c>
      <c r="E13" s="214">
        <f>+CMVMC!F16</f>
        <v>78335.81640000001</v>
      </c>
      <c r="F13" s="214">
        <f>+CMVMC!G16</f>
        <v>79271.98851600001</v>
      </c>
      <c r="G13" s="214">
        <f>+CMVMC!H16</f>
        <v>80220.57863220002</v>
      </c>
    </row>
    <row r="14" spans="1:7" ht="9.75">
      <c r="A14" s="141" t="s">
        <v>281</v>
      </c>
      <c r="B14" s="214">
        <f>+FSE!F43</f>
        <v>28800</v>
      </c>
      <c r="C14" s="214">
        <f>+FSE!G43</f>
        <v>28800</v>
      </c>
      <c r="D14" s="214">
        <f>+FSE!H43</f>
        <v>28800</v>
      </c>
      <c r="E14" s="214">
        <f>+FSE!I43</f>
        <v>28800</v>
      </c>
      <c r="F14" s="214">
        <f>+FSE!J43</f>
        <v>28800</v>
      </c>
      <c r="G14" s="214">
        <f>+FSE!K43</f>
        <v>28800</v>
      </c>
    </row>
    <row r="15" spans="1:7" ht="9.75">
      <c r="A15" s="141" t="s">
        <v>280</v>
      </c>
      <c r="B15" s="214">
        <f>+'Gastos com Pessoal'!D94</f>
        <v>34650</v>
      </c>
      <c r="C15" s="214">
        <f>+'Gastos com Pessoal'!E94</f>
        <v>34650</v>
      </c>
      <c r="D15" s="214">
        <f>+'Gastos com Pessoal'!F94</f>
        <v>34650</v>
      </c>
      <c r="E15" s="214">
        <f>+'Gastos com Pessoal'!G94</f>
        <v>34650</v>
      </c>
      <c r="F15" s="214">
        <f>+'Gastos com Pessoal'!H94</f>
        <v>34650</v>
      </c>
      <c r="G15" s="214">
        <f>+'Gastos com Pessoal'!I94</f>
        <v>34650</v>
      </c>
    </row>
    <row r="16" spans="1:7" ht="9.75">
      <c r="A16" s="141" t="s">
        <v>286</v>
      </c>
      <c r="B16" s="3"/>
      <c r="C16" s="3"/>
      <c r="D16" s="3"/>
      <c r="E16" s="3"/>
      <c r="F16" s="3"/>
      <c r="G16" s="3"/>
    </row>
    <row r="17" spans="1:7" ht="9.75">
      <c r="A17" s="141" t="s">
        <v>287</v>
      </c>
      <c r="B17" s="214">
        <f>+VN!C87</f>
        <v>5851.2</v>
      </c>
      <c r="C17" s="214">
        <f>+VN!D87</f>
        <v>5924.976</v>
      </c>
      <c r="D17" s="214">
        <f>+VN!E87</f>
        <v>5999.795040000001</v>
      </c>
      <c r="E17" s="214">
        <f>+VN!F87</f>
        <v>6075.673656</v>
      </c>
      <c r="F17" s="214">
        <f>+VN!G87</f>
        <v>6152.628671472002</v>
      </c>
      <c r="G17" s="214">
        <f>+VN!H87</f>
        <v>6230.677202676961</v>
      </c>
    </row>
    <row r="18" spans="1:7" ht="9.75">
      <c r="A18" s="141" t="s">
        <v>288</v>
      </c>
      <c r="B18" s="3"/>
      <c r="C18" s="3"/>
      <c r="D18" s="3"/>
      <c r="E18" s="3"/>
      <c r="F18" s="3"/>
      <c r="G18" s="3"/>
    </row>
    <row r="19" spans="1:7" ht="9.75">
      <c r="A19" s="141" t="s">
        <v>289</v>
      </c>
      <c r="B19" s="3"/>
      <c r="C19" s="3"/>
      <c r="D19" s="3"/>
      <c r="E19" s="3"/>
      <c r="F19" s="3"/>
      <c r="G19" s="3"/>
    </row>
    <row r="20" spans="1:7" ht="9.75">
      <c r="A20" s="141" t="s">
        <v>290</v>
      </c>
      <c r="B20" s="3"/>
      <c r="C20" s="3"/>
      <c r="D20" s="3"/>
      <c r="E20" s="3"/>
      <c r="F20" s="3"/>
      <c r="G20" s="3"/>
    </row>
    <row r="21" spans="1:7" ht="9.75">
      <c r="A21" s="141" t="s">
        <v>279</v>
      </c>
      <c r="B21" s="3"/>
      <c r="C21" s="3"/>
      <c r="D21" s="3"/>
      <c r="E21" s="3"/>
      <c r="F21" s="3"/>
      <c r="G21" s="3"/>
    </row>
    <row r="22" spans="1:7" ht="9.75">
      <c r="A22" s="141" t="s">
        <v>278</v>
      </c>
      <c r="B22" s="3"/>
      <c r="C22" s="3"/>
      <c r="D22" s="3"/>
      <c r="E22" s="3"/>
      <c r="F22" s="3"/>
      <c r="G22" s="3"/>
    </row>
    <row r="23" spans="1:7" ht="10.5" thickBot="1">
      <c r="A23" s="215" t="s">
        <v>291</v>
      </c>
      <c r="B23" s="40">
        <f aca="true" t="shared" si="0" ref="B23:G23">+B8+B9+B10+B11+B12-B13-B14-B15-B16-B17-B18-B19-B20+B21-B22</f>
        <v>131098.8</v>
      </c>
      <c r="C23" s="40">
        <f t="shared" si="0"/>
        <v>133605.024</v>
      </c>
      <c r="D23" s="40">
        <f t="shared" si="0"/>
        <v>136147.52496</v>
      </c>
      <c r="E23" s="40">
        <f t="shared" si="0"/>
        <v>138726.889944</v>
      </c>
      <c r="F23" s="40">
        <f t="shared" si="0"/>
        <v>141343.71637252806</v>
      </c>
      <c r="G23" s="40">
        <f t="shared" si="0"/>
        <v>143998.6122159231</v>
      </c>
    </row>
    <row r="24" spans="1:7" ht="10.5" thickTop="1">
      <c r="A24" s="141" t="s">
        <v>272</v>
      </c>
      <c r="B24" s="214">
        <f>+Investimento!C168</f>
        <v>20000</v>
      </c>
      <c r="C24" s="214">
        <f>+Investimento!D168</f>
        <v>20000</v>
      </c>
      <c r="D24" s="214">
        <f>+Investimento!E168</f>
        <v>20000</v>
      </c>
      <c r="E24" s="214">
        <f>+Investimento!F168</f>
        <v>20000</v>
      </c>
      <c r="F24" s="214">
        <f>+Investimento!G168</f>
        <v>0</v>
      </c>
      <c r="G24" s="214">
        <f>+Investimento!H168</f>
        <v>0</v>
      </c>
    </row>
    <row r="25" spans="1:7" ht="9.75">
      <c r="A25" s="141" t="s">
        <v>273</v>
      </c>
      <c r="B25" s="3"/>
      <c r="C25" s="3"/>
      <c r="D25" s="3"/>
      <c r="E25" s="3"/>
      <c r="F25" s="3"/>
      <c r="G25" s="3"/>
    </row>
    <row r="26" spans="1:7" ht="10.5" thickBot="1">
      <c r="A26" s="215" t="s">
        <v>292</v>
      </c>
      <c r="B26" s="40">
        <f aca="true" t="shared" si="1" ref="B26:G26">+B23-B24-B25</f>
        <v>111098.79999999999</v>
      </c>
      <c r="C26" s="40">
        <f t="shared" si="1"/>
        <v>113605.024</v>
      </c>
      <c r="D26" s="40">
        <f t="shared" si="1"/>
        <v>116147.52496000001</v>
      </c>
      <c r="E26" s="40">
        <f t="shared" si="1"/>
        <v>118726.889944</v>
      </c>
      <c r="F26" s="40">
        <f t="shared" si="1"/>
        <v>141343.71637252806</v>
      </c>
      <c r="G26" s="40">
        <f t="shared" si="1"/>
        <v>143998.6122159231</v>
      </c>
    </row>
    <row r="27" spans="1:7" ht="10.5" thickTop="1">
      <c r="A27" s="141" t="s">
        <v>275</v>
      </c>
      <c r="B27" s="214">
        <f>+IF(PlanoFinanceiro!C29&gt;0,PlanoFinanceiro!C29*Pressupostos!$B$31,0)</f>
        <v>0</v>
      </c>
      <c r="C27" s="214">
        <f>+IF(PlanoFinanceiro!D29&gt;0,PlanoFinanceiro!D29*Pressupostos!$B$31,0)</f>
        <v>0</v>
      </c>
      <c r="D27" s="214">
        <f>+IF(PlanoFinanceiro!E29&gt;0,PlanoFinanceiro!E29*Pressupostos!$B$31,0)</f>
        <v>0</v>
      </c>
      <c r="E27" s="214">
        <f>+IF(PlanoFinanceiro!F29&gt;0,PlanoFinanceiro!F29*Pressupostos!$B$31,0)</f>
        <v>0</v>
      </c>
      <c r="F27" s="214">
        <f>+IF(PlanoFinanceiro!G29&gt;0,PlanoFinanceiro!G29*Pressupostos!$B$31,0)</f>
        <v>0</v>
      </c>
      <c r="G27" s="214">
        <f>+IF(PlanoFinanceiro!H29&gt;0,PlanoFinanceiro!H29*Pressupostos!$B$31,0)</f>
        <v>0</v>
      </c>
    </row>
    <row r="28" spans="1:7" ht="9.75">
      <c r="A28" s="141" t="s">
        <v>274</v>
      </c>
      <c r="B28" s="214">
        <f>Financiamento!C103+IF(PlanoFinanceiro!C29&lt;0,-PlanoFinanceiro!C29*Pressupostos!$B$32,0)</f>
        <v>0</v>
      </c>
      <c r="C28" s="214">
        <f>Financiamento!D103+IF(PlanoFinanceiro!D29&lt;0,-PlanoFinanceiro!D29*Pressupostos!$B$32,0)</f>
        <v>0</v>
      </c>
      <c r="D28" s="214">
        <f>Financiamento!E103+IF(PlanoFinanceiro!E29&lt;0,-PlanoFinanceiro!E29*Pressupostos!$B$32,0)</f>
        <v>0</v>
      </c>
      <c r="E28" s="214">
        <f>Financiamento!F103+IF(PlanoFinanceiro!F29&lt;0,-PlanoFinanceiro!F29*Pressupostos!$B$32,0)</f>
        <v>0</v>
      </c>
      <c r="F28" s="214">
        <f>Financiamento!G103+IF(PlanoFinanceiro!G29&lt;0,-PlanoFinanceiro!G29*Pressupostos!$B$32,0)</f>
        <v>0</v>
      </c>
      <c r="G28" s="214">
        <f>Financiamento!H103+IF(PlanoFinanceiro!H29&lt;0,-PlanoFinanceiro!H29*Pressupostos!$B$32,0)</f>
        <v>0</v>
      </c>
    </row>
    <row r="29" spans="1:7" ht="10.5" thickBot="1">
      <c r="A29" s="215" t="s">
        <v>293</v>
      </c>
      <c r="B29" s="40">
        <f aca="true" t="shared" si="2" ref="B29:G29">+B26+B27-B28</f>
        <v>111098.79999999999</v>
      </c>
      <c r="C29" s="40">
        <f t="shared" si="2"/>
        <v>113605.024</v>
      </c>
      <c r="D29" s="40">
        <f t="shared" si="2"/>
        <v>116147.52496000001</v>
      </c>
      <c r="E29" s="40">
        <f t="shared" si="2"/>
        <v>118726.889944</v>
      </c>
      <c r="F29" s="40">
        <f t="shared" si="2"/>
        <v>141343.71637252806</v>
      </c>
      <c r="G29" s="40">
        <f t="shared" si="2"/>
        <v>143998.6122159231</v>
      </c>
    </row>
    <row r="30" spans="1:7" ht="10.5" thickTop="1">
      <c r="A30" s="141" t="s">
        <v>276</v>
      </c>
      <c r="B30" s="214">
        <f>IF(B29&gt;0,B29*Pressupostos!$B$29,0)</f>
        <v>27774.699999999997</v>
      </c>
      <c r="C30" s="214">
        <f>IF(C29+C32&lt;0,0,(C29+C32)*Pressupostos!$B$29)</f>
        <v>28401.256</v>
      </c>
      <c r="D30" s="214">
        <f>IF(D29+D32&lt;0,0,(D29+D32)*Pressupostos!$B$29)</f>
        <v>29036.881240000002</v>
      </c>
      <c r="E30" s="214">
        <f>IF(E29+E32&lt;0,0,(E29+E32)*Pressupostos!$B$29)</f>
        <v>29681.722486</v>
      </c>
      <c r="F30" s="214">
        <f>IF(F29+F32&lt;0,0,(F29+F32)*Pressupostos!$B$29)</f>
        <v>35335.929093132014</v>
      </c>
      <c r="G30" s="214">
        <f>IF(G29+G32&lt;0,0,(G29+G32)*Pressupostos!$B$29)</f>
        <v>35999.65305398077</v>
      </c>
    </row>
    <row r="31" spans="1:7" ht="10.5" thickBot="1">
      <c r="A31" s="215" t="s">
        <v>277</v>
      </c>
      <c r="B31" s="40">
        <f aca="true" t="shared" si="3" ref="B31:G31">+B29-B30</f>
        <v>83324.09999999999</v>
      </c>
      <c r="C31" s="40">
        <f t="shared" si="3"/>
        <v>85203.76800000001</v>
      </c>
      <c r="D31" s="40">
        <f t="shared" si="3"/>
        <v>87110.64372000001</v>
      </c>
      <c r="E31" s="40">
        <f t="shared" si="3"/>
        <v>89045.167458</v>
      </c>
      <c r="F31" s="40">
        <f t="shared" si="3"/>
        <v>106007.78727939604</v>
      </c>
      <c r="G31" s="40">
        <f t="shared" si="3"/>
        <v>107998.95916194232</v>
      </c>
    </row>
    <row r="32" spans="1:7" ht="10.5" thickTop="1">
      <c r="A32" s="144"/>
      <c r="B32" s="216"/>
      <c r="C32" s="216">
        <f>IF(B31&lt;0,B31,0)</f>
        <v>0</v>
      </c>
      <c r="D32" s="216">
        <f>IF(C31+C32&lt;0,C31+C32,0)</f>
        <v>0</v>
      </c>
      <c r="E32" s="216">
        <f>IF(D31+D32&lt;0,D31+D32,0)</f>
        <v>0</v>
      </c>
      <c r="F32" s="216">
        <f>IF(E31+E32&lt;0,E31+E32,0)</f>
        <v>0</v>
      </c>
      <c r="G32" s="216">
        <f>IF(F31+F32&lt;0,F31+F32,0)</f>
        <v>0</v>
      </c>
    </row>
    <row r="33" spans="2:7" ht="9.75">
      <c r="B33" s="217"/>
      <c r="C33" s="217"/>
      <c r="D33" s="217"/>
      <c r="E33" s="217"/>
      <c r="F33" s="217"/>
      <c r="G33" s="217"/>
    </row>
  </sheetData>
  <sheetProtection password="8318" sheet="1"/>
  <mergeCells count="1">
    <mergeCell ref="A4:G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/>
  <headerFooter alignWithMargins="0">
    <oddFooter>&amp;C&amp;"Arial,Normal"&amp;8IAPMEI&amp;R&amp;"Arial,Normal"&amp;8&amp;P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lha4"/>
  <dimension ref="A1:I39"/>
  <sheetViews>
    <sheetView showGridLines="0" showZeros="0" zoomScale="150" zoomScaleNormal="150" workbookViewId="0" topLeftCell="A1">
      <selection activeCell="H30" sqref="H30"/>
    </sheetView>
  </sheetViews>
  <sheetFormatPr defaultColWidth="8.7109375" defaultRowHeight="12.75"/>
  <cols>
    <col min="1" max="1" width="30.8515625" style="220" customWidth="1"/>
    <col min="2" max="2" width="7.421875" style="220" customWidth="1"/>
    <col min="3" max="13" width="11.421875" style="220" customWidth="1"/>
    <col min="14" max="16384" width="8.7109375" style="220" customWidth="1"/>
  </cols>
  <sheetData>
    <row r="1" spans="1:8" ht="12.75">
      <c r="A1" s="218"/>
      <c r="B1" s="218"/>
      <c r="C1" s="149"/>
      <c r="D1" s="149"/>
      <c r="E1" s="149"/>
      <c r="F1" s="149"/>
      <c r="G1" s="150" t="s">
        <v>63</v>
      </c>
      <c r="H1" s="219" t="str">
        <f>+Pressupostos!E1</f>
        <v>XPTO, Lda</v>
      </c>
    </row>
    <row r="2" spans="1:8" ht="12.75">
      <c r="A2" s="63"/>
      <c r="B2" s="63"/>
      <c r="C2" s="63"/>
      <c r="D2" s="63"/>
      <c r="E2" s="63"/>
      <c r="F2" s="63"/>
      <c r="G2" s="63"/>
      <c r="H2" s="58" t="str">
        <f>+Pressupostos!B9</f>
        <v>Euros</v>
      </c>
    </row>
    <row r="3" spans="1:8" ht="12.75">
      <c r="A3" s="63"/>
      <c r="B3" s="63"/>
      <c r="C3" s="63"/>
      <c r="D3" s="63"/>
      <c r="E3" s="63"/>
      <c r="F3" s="63"/>
      <c r="G3" s="63"/>
      <c r="H3" s="58"/>
    </row>
    <row r="4" spans="1:8" ht="13.5" customHeight="1">
      <c r="A4" s="511" t="s">
        <v>58</v>
      </c>
      <c r="B4" s="511"/>
      <c r="C4" s="511"/>
      <c r="D4" s="511"/>
      <c r="E4" s="511"/>
      <c r="F4" s="511"/>
      <c r="G4" s="511"/>
      <c r="H4" s="511"/>
    </row>
    <row r="5" spans="1:8" ht="12.75" customHeight="1">
      <c r="A5" s="63"/>
      <c r="B5" s="152"/>
      <c r="C5" s="152"/>
      <c r="D5" s="63"/>
      <c r="E5" s="63"/>
      <c r="F5" s="63"/>
      <c r="G5" s="63"/>
      <c r="H5" s="63"/>
    </row>
    <row r="6" spans="1:8" ht="10.5">
      <c r="A6" s="63"/>
      <c r="B6" s="140"/>
      <c r="C6" s="152"/>
      <c r="D6" s="63"/>
      <c r="E6" s="63"/>
      <c r="F6" s="63"/>
      <c r="G6" s="63"/>
      <c r="H6" s="63"/>
    </row>
    <row r="7" spans="1:8" ht="10.5">
      <c r="A7" s="141"/>
      <c r="B7" s="134"/>
      <c r="C7" s="60">
        <f>+VN!C8</f>
        <v>2017</v>
      </c>
      <c r="D7" s="60">
        <f>+VN!D8</f>
        <v>2018</v>
      </c>
      <c r="E7" s="60">
        <f>+VN!E8</f>
        <v>2019</v>
      </c>
      <c r="F7" s="60">
        <f>+VN!F8</f>
        <v>2020</v>
      </c>
      <c r="G7" s="60">
        <f>+VN!G8</f>
        <v>2021</v>
      </c>
      <c r="H7" s="60">
        <f>+VN!H8</f>
        <v>2022</v>
      </c>
    </row>
    <row r="8" spans="1:8" ht="10.5">
      <c r="A8" s="74" t="s">
        <v>87</v>
      </c>
      <c r="B8" s="134"/>
      <c r="C8" s="60"/>
      <c r="D8" s="60"/>
      <c r="E8" s="60"/>
      <c r="F8" s="60"/>
      <c r="G8" s="60"/>
      <c r="H8" s="60"/>
    </row>
    <row r="9" spans="1:8" ht="10.5">
      <c r="A9" s="221" t="s">
        <v>160</v>
      </c>
      <c r="B9" s="222"/>
      <c r="C9" s="117">
        <f>+'DR'!B26*(1-Pressupostos!$B$29)</f>
        <v>83324.09999999999</v>
      </c>
      <c r="D9" s="117">
        <f>+'DR'!C26*(1-Pressupostos!$B$29)</f>
        <v>85203.76800000001</v>
      </c>
      <c r="E9" s="117">
        <f>+'DR'!D26*(1-Pressupostos!$B$29)</f>
        <v>87110.64372000001</v>
      </c>
      <c r="F9" s="117">
        <f>+'DR'!E26*(1-Pressupostos!$B$29)</f>
        <v>89045.167458</v>
      </c>
      <c r="G9" s="117">
        <f>+'DR'!F26*(1-Pressupostos!$B$29)</f>
        <v>106007.78727939604</v>
      </c>
      <c r="H9" s="117">
        <f>+'DR'!G26*(1-Pressupostos!$B$29)</f>
        <v>107998.95916194232</v>
      </c>
    </row>
    <row r="10" spans="1:8" ht="10.5">
      <c r="A10" s="64" t="s">
        <v>350</v>
      </c>
      <c r="B10" s="222"/>
      <c r="C10" s="117">
        <f>+'DR'!B24</f>
        <v>20000</v>
      </c>
      <c r="D10" s="117">
        <f>+'DR'!C24</f>
        <v>20000</v>
      </c>
      <c r="E10" s="117">
        <f>+'DR'!D24</f>
        <v>20000</v>
      </c>
      <c r="F10" s="117">
        <f>+'DR'!E24</f>
        <v>20000</v>
      </c>
      <c r="G10" s="117">
        <f>+'DR'!F24</f>
        <v>0</v>
      </c>
      <c r="H10" s="117">
        <f>+'DR'!G24</f>
        <v>0</v>
      </c>
    </row>
    <row r="11" spans="1:8" ht="10.5">
      <c r="A11" s="64" t="s">
        <v>204</v>
      </c>
      <c r="B11" s="222"/>
      <c r="C11" s="117">
        <f>+'DR'!B25</f>
        <v>0</v>
      </c>
      <c r="D11" s="117">
        <f>+'DR'!C25</f>
        <v>0</v>
      </c>
      <c r="E11" s="117">
        <f>+'DR'!D25</f>
        <v>0</v>
      </c>
      <c r="F11" s="117">
        <f>+'DR'!E25</f>
        <v>0</v>
      </c>
      <c r="G11" s="117">
        <f>+'DR'!F25</f>
        <v>0</v>
      </c>
      <c r="H11" s="117">
        <f>+'DR'!G25</f>
        <v>0</v>
      </c>
    </row>
    <row r="12" spans="1:8" ht="12" thickBot="1">
      <c r="A12" s="64"/>
      <c r="B12" s="130"/>
      <c r="C12" s="160">
        <f aca="true" t="shared" si="0" ref="C12:H12">SUM(C9:C11)</f>
        <v>103324.09999999999</v>
      </c>
      <c r="D12" s="160">
        <f t="shared" si="0"/>
        <v>105203.76800000001</v>
      </c>
      <c r="E12" s="160">
        <f t="shared" si="0"/>
        <v>107110.64372000001</v>
      </c>
      <c r="F12" s="160">
        <f t="shared" si="0"/>
        <v>109045.167458</v>
      </c>
      <c r="G12" s="160">
        <f t="shared" si="0"/>
        <v>106007.78727939604</v>
      </c>
      <c r="H12" s="160">
        <f t="shared" si="0"/>
        <v>107998.95916194232</v>
      </c>
    </row>
    <row r="13" spans="1:8" ht="12" thickTop="1">
      <c r="A13" s="74" t="s">
        <v>161</v>
      </c>
      <c r="B13" s="223"/>
      <c r="C13" s="224"/>
      <c r="D13" s="224"/>
      <c r="E13" s="224"/>
      <c r="F13" s="224"/>
      <c r="G13" s="224"/>
      <c r="H13" s="224"/>
    </row>
    <row r="14" spans="1:8" ht="10.5">
      <c r="A14" s="221" t="s">
        <v>88</v>
      </c>
      <c r="B14" s="225"/>
      <c r="C14" s="117">
        <f>-FundoManeio!C24</f>
        <v>-15166</v>
      </c>
      <c r="D14" s="117">
        <f>-FundoManeio!D24</f>
        <v>-226.6999999999971</v>
      </c>
      <c r="E14" s="117">
        <f>-FundoManeio!E24</f>
        <v>-229.93180000000575</v>
      </c>
      <c r="F14" s="117">
        <f>-FundoManeio!F24</f>
        <v>-233.2152139999962</v>
      </c>
      <c r="G14" s="117">
        <f>-FundoManeio!G24</f>
        <v>-236.5511440600094</v>
      </c>
      <c r="H14" s="117">
        <f>-FundoManeio!H24</f>
        <v>-239.9405089789907</v>
      </c>
    </row>
    <row r="15" spans="1:8" ht="10.5">
      <c r="A15" s="226"/>
      <c r="B15" s="226"/>
      <c r="C15" s="226"/>
      <c r="D15" s="226"/>
      <c r="E15" s="226"/>
      <c r="F15" s="226"/>
      <c r="G15" s="226"/>
      <c r="H15" s="226"/>
    </row>
    <row r="16" spans="1:8" ht="12" thickBot="1">
      <c r="A16" s="164" t="s">
        <v>91</v>
      </c>
      <c r="B16" s="227"/>
      <c r="C16" s="160">
        <f aca="true" t="shared" si="1" ref="C16:H16">+SUM(C12:C14)</f>
        <v>88158.09999999999</v>
      </c>
      <c r="D16" s="160">
        <f t="shared" si="1"/>
        <v>104977.06800000001</v>
      </c>
      <c r="E16" s="160">
        <f t="shared" si="1"/>
        <v>106880.71192</v>
      </c>
      <c r="F16" s="160">
        <f t="shared" si="1"/>
        <v>108811.952244</v>
      </c>
      <c r="G16" s="160">
        <f t="shared" si="1"/>
        <v>105771.23613533603</v>
      </c>
      <c r="H16" s="160">
        <f t="shared" si="1"/>
        <v>107759.01865296332</v>
      </c>
    </row>
    <row r="17" spans="1:8" ht="12" thickTop="1">
      <c r="A17" s="228"/>
      <c r="B17" s="229"/>
      <c r="C17" s="230"/>
      <c r="D17" s="230"/>
      <c r="E17" s="230"/>
      <c r="F17" s="230"/>
      <c r="G17" s="230"/>
      <c r="H17" s="230"/>
    </row>
    <row r="18" spans="1:8" ht="10.5">
      <c r="A18" s="74" t="s">
        <v>162</v>
      </c>
      <c r="B18" s="223"/>
      <c r="C18" s="224"/>
      <c r="D18" s="224"/>
      <c r="E18" s="224"/>
      <c r="F18" s="224"/>
      <c r="G18" s="224"/>
      <c r="H18" s="224"/>
    </row>
    <row r="19" spans="1:8" ht="10.5">
      <c r="A19" s="64" t="s">
        <v>89</v>
      </c>
      <c r="B19" s="222"/>
      <c r="C19" s="117">
        <f>-Investimento!C29</f>
        <v>-80000</v>
      </c>
      <c r="D19" s="117">
        <f>-Investimento!D29</f>
        <v>0</v>
      </c>
      <c r="E19" s="117">
        <f>-Investimento!E29</f>
        <v>0</v>
      </c>
      <c r="F19" s="117">
        <f>-Investimento!F29</f>
        <v>0</v>
      </c>
      <c r="G19" s="117">
        <f>-Investimento!G29</f>
        <v>0</v>
      </c>
      <c r="H19" s="117">
        <f>-Investimento!H29</f>
        <v>0</v>
      </c>
    </row>
    <row r="20" spans="1:8" ht="10.5">
      <c r="A20" s="152"/>
      <c r="B20" s="229"/>
      <c r="C20" s="230"/>
      <c r="D20" s="230"/>
      <c r="E20" s="230"/>
      <c r="F20" s="230"/>
      <c r="G20" s="230"/>
      <c r="H20" s="230"/>
    </row>
    <row r="21" spans="1:8" ht="12" thickBot="1">
      <c r="A21" s="164" t="s">
        <v>126</v>
      </c>
      <c r="B21" s="227"/>
      <c r="C21" s="160">
        <f aca="true" t="shared" si="2" ref="C21:H21">+C12+C14+C19</f>
        <v>8158.099999999991</v>
      </c>
      <c r="D21" s="160">
        <f t="shared" si="2"/>
        <v>104977.06800000001</v>
      </c>
      <c r="E21" s="160">
        <f t="shared" si="2"/>
        <v>106880.71192</v>
      </c>
      <c r="F21" s="160">
        <f t="shared" si="2"/>
        <v>108811.952244</v>
      </c>
      <c r="G21" s="160">
        <f t="shared" si="2"/>
        <v>105771.23613533603</v>
      </c>
      <c r="H21" s="160">
        <f t="shared" si="2"/>
        <v>107759.01865296332</v>
      </c>
    </row>
    <row r="22" spans="1:8" ht="12" thickTop="1">
      <c r="A22" s="228"/>
      <c r="B22" s="229"/>
      <c r="C22" s="230"/>
      <c r="D22" s="230"/>
      <c r="E22" s="230"/>
      <c r="F22" s="230"/>
      <c r="G22" s="230"/>
      <c r="H22" s="230"/>
    </row>
    <row r="23" spans="1:8" ht="12" thickBot="1">
      <c r="A23" s="164" t="s">
        <v>112</v>
      </c>
      <c r="B23" s="227"/>
      <c r="C23" s="160">
        <f>+SUM(C21)</f>
        <v>8158.099999999991</v>
      </c>
      <c r="D23" s="160">
        <f>+SUM($C$21:D21)</f>
        <v>113135.168</v>
      </c>
      <c r="E23" s="160">
        <f>+SUM($C$21:E21)</f>
        <v>220015.87992</v>
      </c>
      <c r="F23" s="160">
        <f>+SUM($C$21:F21)</f>
        <v>328827.832164</v>
      </c>
      <c r="G23" s="160">
        <f>+SUM($C$21:G21)</f>
        <v>434599.06829933607</v>
      </c>
      <c r="H23" s="160">
        <f>+SUM($C$21:H21)</f>
        <v>542358.0869522993</v>
      </c>
    </row>
    <row r="24" spans="1:8" ht="12" thickTop="1">
      <c r="A24" s="81"/>
      <c r="B24" s="231"/>
      <c r="C24" s="232"/>
      <c r="D24" s="232"/>
      <c r="E24" s="232"/>
      <c r="F24" s="232"/>
      <c r="G24" s="232"/>
      <c r="H24" s="232"/>
    </row>
    <row r="25" spans="1:9" ht="10.5">
      <c r="A25" s="233"/>
      <c r="B25" s="234"/>
      <c r="C25" s="235"/>
      <c r="D25" s="235"/>
      <c r="E25" s="235"/>
      <c r="F25" s="235"/>
      <c r="G25" s="235"/>
      <c r="H25" s="235"/>
      <c r="I25" s="236"/>
    </row>
    <row r="26" spans="1:8" ht="10.5">
      <c r="A26" s="237"/>
      <c r="B26" s="234"/>
      <c r="C26" s="232"/>
      <c r="D26" s="232"/>
      <c r="E26" s="232"/>
      <c r="F26" s="232"/>
      <c r="G26" s="232"/>
      <c r="H26" s="232"/>
    </row>
    <row r="27" spans="1:8" ht="10.5">
      <c r="A27" s="237"/>
      <c r="B27" s="234"/>
      <c r="C27" s="232"/>
      <c r="D27" s="232"/>
      <c r="E27" s="232"/>
      <c r="F27" s="232"/>
      <c r="G27" s="232"/>
      <c r="H27" s="232"/>
    </row>
    <row r="28" spans="1:8" ht="10.5">
      <c r="A28" s="237"/>
      <c r="B28" s="234"/>
      <c r="C28" s="232"/>
      <c r="D28" s="232"/>
      <c r="E28" s="232"/>
      <c r="F28" s="232"/>
      <c r="G28" s="232"/>
      <c r="H28" s="232"/>
    </row>
    <row r="29" spans="1:8" ht="10.5">
      <c r="A29" s="237"/>
      <c r="B29" s="234"/>
      <c r="C29" s="232"/>
      <c r="D29" s="232"/>
      <c r="E29" s="232"/>
      <c r="F29" s="232"/>
      <c r="G29" s="232"/>
      <c r="H29" s="232"/>
    </row>
    <row r="30" spans="1:8" ht="10.5">
      <c r="A30" s="237"/>
      <c r="B30" s="234"/>
      <c r="C30" s="232"/>
      <c r="D30" s="232"/>
      <c r="E30" s="232"/>
      <c r="F30" s="232"/>
      <c r="G30" s="232"/>
      <c r="H30" s="232"/>
    </row>
    <row r="31" spans="1:8" ht="10.5">
      <c r="A31" s="237"/>
      <c r="B31" s="234"/>
      <c r="C31" s="232"/>
      <c r="D31" s="232"/>
      <c r="E31" s="232"/>
      <c r="F31" s="232"/>
      <c r="G31" s="232"/>
      <c r="H31" s="232"/>
    </row>
    <row r="32" spans="1:8" ht="10.5">
      <c r="A32" s="237"/>
      <c r="B32" s="234"/>
      <c r="C32" s="232"/>
      <c r="D32" s="232"/>
      <c r="E32" s="232"/>
      <c r="F32" s="232"/>
      <c r="G32" s="232"/>
      <c r="H32" s="232"/>
    </row>
    <row r="33" spans="1:8" ht="10.5">
      <c r="A33" s="237"/>
      <c r="B33" s="234"/>
      <c r="C33" s="232"/>
      <c r="D33" s="232"/>
      <c r="E33" s="232"/>
      <c r="F33" s="232"/>
      <c r="G33" s="232"/>
      <c r="H33" s="232"/>
    </row>
    <row r="34" spans="1:8" ht="10.5">
      <c r="A34" s="237"/>
      <c r="B34" s="234"/>
      <c r="C34" s="232"/>
      <c r="D34" s="232"/>
      <c r="E34" s="232"/>
      <c r="F34" s="232"/>
      <c r="G34" s="232"/>
      <c r="H34" s="232"/>
    </row>
    <row r="35" spans="1:8" ht="10.5">
      <c r="A35" s="237"/>
      <c r="B35" s="234"/>
      <c r="C35" s="232"/>
      <c r="D35" s="232"/>
      <c r="E35" s="232"/>
      <c r="F35" s="232"/>
      <c r="G35" s="232"/>
      <c r="H35" s="232"/>
    </row>
    <row r="36" spans="1:8" ht="10.5">
      <c r="A36" s="233"/>
      <c r="B36" s="234"/>
      <c r="C36" s="235"/>
      <c r="D36" s="235"/>
      <c r="E36" s="235"/>
      <c r="F36" s="235"/>
      <c r="G36" s="235"/>
      <c r="H36" s="235"/>
    </row>
    <row r="37" spans="1:8" ht="10.5">
      <c r="A37" s="238"/>
      <c r="B37" s="234"/>
      <c r="C37" s="239"/>
      <c r="D37" s="81"/>
      <c r="E37" s="81"/>
      <c r="F37" s="81"/>
      <c r="G37" s="81"/>
      <c r="H37" s="81"/>
    </row>
    <row r="38" spans="1:8" ht="10.5">
      <c r="A38" s="73"/>
      <c r="B38" s="73"/>
      <c r="C38" s="81"/>
      <c r="D38" s="81"/>
      <c r="E38" s="81"/>
      <c r="F38" s="81"/>
      <c r="G38" s="81"/>
      <c r="H38" s="81"/>
    </row>
    <row r="39" spans="3:8" ht="10.5">
      <c r="C39" s="240"/>
      <c r="D39" s="240"/>
      <c r="E39" s="240"/>
      <c r="F39" s="240"/>
      <c r="G39" s="240"/>
      <c r="H39" s="240"/>
    </row>
  </sheetData>
  <sheetProtection password="8318" sheet="1" objects="1" scenarios="1"/>
  <mergeCells count="1">
    <mergeCell ref="A4:H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/>
  <headerFooter alignWithMargins="0">
    <oddFooter>&amp;C&amp;"Arial,Normal"&amp;8IAPMEI&amp;R&amp;"Arial,Normal"&amp;8&amp;P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lha5"/>
  <dimension ref="A1:H35"/>
  <sheetViews>
    <sheetView showGridLines="0" showZeros="0" workbookViewId="0" topLeftCell="A1">
      <selection activeCell="L18" sqref="L18"/>
    </sheetView>
  </sheetViews>
  <sheetFormatPr defaultColWidth="8.7109375" defaultRowHeight="12.75"/>
  <cols>
    <col min="1" max="1" width="30.421875" style="73" customWidth="1"/>
    <col min="2" max="2" width="3.140625" style="73" customWidth="1"/>
    <col min="3" max="3" width="13.421875" style="73" customWidth="1"/>
    <col min="4" max="4" width="12.140625" style="73" customWidth="1"/>
    <col min="5" max="8" width="11.7109375" style="73" customWidth="1"/>
    <col min="9" max="16384" width="8.7109375" style="73" customWidth="1"/>
  </cols>
  <sheetData>
    <row r="1" spans="1:8" ht="12.75">
      <c r="A1" s="63"/>
      <c r="B1" s="63"/>
      <c r="C1" s="53"/>
      <c r="D1" s="53"/>
      <c r="E1" s="53"/>
      <c r="F1" s="53"/>
      <c r="G1" s="54" t="s">
        <v>63</v>
      </c>
      <c r="H1" s="98" t="str">
        <f>+Pressupostos!E1</f>
        <v>XPTO, Lda</v>
      </c>
    </row>
    <row r="2" spans="1:8" ht="12.75">
      <c r="A2" s="63"/>
      <c r="B2" s="63"/>
      <c r="C2" s="63"/>
      <c r="D2" s="63"/>
      <c r="E2" s="63"/>
      <c r="F2" s="63"/>
      <c r="G2" s="63"/>
      <c r="H2" s="58" t="str">
        <f>+Pressupostos!B9</f>
        <v>Euros</v>
      </c>
    </row>
    <row r="3" spans="1:8" ht="12.75">
      <c r="A3" s="63"/>
      <c r="B3" s="63"/>
      <c r="C3" s="63"/>
      <c r="D3" s="63"/>
      <c r="E3" s="63"/>
      <c r="F3" s="63"/>
      <c r="G3" s="63"/>
      <c r="H3" s="58"/>
    </row>
    <row r="4" spans="1:8" ht="15.75">
      <c r="A4" s="511" t="s">
        <v>164</v>
      </c>
      <c r="B4" s="511"/>
      <c r="C4" s="511"/>
      <c r="D4" s="511"/>
      <c r="E4" s="511"/>
      <c r="F4" s="511"/>
      <c r="G4" s="511"/>
      <c r="H4" s="511"/>
    </row>
    <row r="5" spans="1:8" ht="9.75">
      <c r="A5" s="63"/>
      <c r="B5" s="63"/>
      <c r="C5" s="63"/>
      <c r="D5" s="63"/>
      <c r="E5" s="63"/>
      <c r="F5" s="63"/>
      <c r="G5" s="63"/>
      <c r="H5" s="63"/>
    </row>
    <row r="6" spans="1:8" ht="9.75">
      <c r="A6" s="63"/>
      <c r="B6" s="63"/>
      <c r="C6" s="63"/>
      <c r="D6" s="63"/>
      <c r="E6" s="63"/>
      <c r="F6" s="63"/>
      <c r="G6" s="63"/>
      <c r="H6" s="63"/>
    </row>
    <row r="7" spans="1:8" ht="9.75">
      <c r="A7" s="61"/>
      <c r="B7" s="84"/>
      <c r="C7" s="60">
        <f>+VN!C8</f>
        <v>2017</v>
      </c>
      <c r="D7" s="60">
        <f>+VN!D8</f>
        <v>2018</v>
      </c>
      <c r="E7" s="60">
        <f>+VN!E8</f>
        <v>2019</v>
      </c>
      <c r="F7" s="60">
        <f>+VN!F8</f>
        <v>2020</v>
      </c>
      <c r="G7" s="60">
        <f>+VN!G8</f>
        <v>2021</v>
      </c>
      <c r="H7" s="60">
        <f>+VN!H8</f>
        <v>2022</v>
      </c>
    </row>
    <row r="8" spans="1:8" ht="9.75">
      <c r="A8" s="555" t="s">
        <v>105</v>
      </c>
      <c r="B8" s="556"/>
      <c r="C8" s="117"/>
      <c r="D8" s="117"/>
      <c r="E8" s="117"/>
      <c r="F8" s="117"/>
      <c r="G8" s="117"/>
      <c r="H8" s="117"/>
    </row>
    <row r="9" spans="1:8" ht="9.75">
      <c r="A9" s="128" t="s">
        <v>95</v>
      </c>
      <c r="B9" s="103"/>
      <c r="C9" s="241">
        <f>+'DR'!B26+'DR'!B24+'DR'!B25+'DR'!B17</f>
        <v>136950</v>
      </c>
      <c r="D9" s="241">
        <f>+'DR'!C26+'DR'!C24+'DR'!C25+'DR'!C17</f>
        <v>139530</v>
      </c>
      <c r="E9" s="241">
        <f>+'DR'!D26+'DR'!D24+'DR'!D25+'DR'!D17</f>
        <v>142147.32</v>
      </c>
      <c r="F9" s="241">
        <f>+'DR'!E26+'DR'!E24+'DR'!E25+'DR'!E17</f>
        <v>144802.5636</v>
      </c>
      <c r="G9" s="241">
        <f>+'DR'!F26+'DR'!F24+'DR'!F25+'DR'!F17</f>
        <v>147496.34504400005</v>
      </c>
      <c r="H9" s="241">
        <f>+'DR'!G26+'DR'!G24+'DR'!G25+'DR'!G17</f>
        <v>150229.28941860003</v>
      </c>
    </row>
    <row r="10" spans="1:8" ht="9.75">
      <c r="A10" s="128" t="s">
        <v>167</v>
      </c>
      <c r="B10" s="103"/>
      <c r="C10" s="241">
        <f>+Financiamento!C15</f>
        <v>0</v>
      </c>
      <c r="D10" s="241">
        <f>+Financiamento!D15</f>
        <v>0</v>
      </c>
      <c r="E10" s="241">
        <f>+Financiamento!E15</f>
        <v>0</v>
      </c>
      <c r="F10" s="241">
        <f>+Financiamento!F15</f>
        <v>0</v>
      </c>
      <c r="G10" s="241">
        <f>+Financiamento!G15</f>
        <v>0</v>
      </c>
      <c r="H10" s="241">
        <f>+Financiamento!H15</f>
        <v>0</v>
      </c>
    </row>
    <row r="11" spans="1:8" ht="9.75">
      <c r="A11" s="128" t="s">
        <v>373</v>
      </c>
      <c r="B11" s="103"/>
      <c r="C11" s="241">
        <f>+Financiamento!C16+Financiamento!C17+Financiamento!C19</f>
        <v>0</v>
      </c>
      <c r="D11" s="241">
        <f>+Financiamento!D16+Financiamento!D17+Financiamento!D19</f>
        <v>0</v>
      </c>
      <c r="E11" s="241">
        <f>+Financiamento!E16+Financiamento!E17+Financiamento!E19</f>
        <v>0</v>
      </c>
      <c r="F11" s="241">
        <f>+Financiamento!F16+Financiamento!F17+Financiamento!F19</f>
        <v>0</v>
      </c>
      <c r="G11" s="241">
        <f>+Financiamento!G16+Financiamento!G17+Financiamento!G19</f>
        <v>0</v>
      </c>
      <c r="H11" s="241">
        <f>+Financiamento!H16+Financiamento!H17+Financiamento!H19</f>
        <v>0</v>
      </c>
    </row>
    <row r="12" spans="1:8" ht="9.75">
      <c r="A12" s="128" t="s">
        <v>168</v>
      </c>
      <c r="B12" s="103"/>
      <c r="C12" s="241">
        <f>+Financiamento!C18</f>
        <v>0</v>
      </c>
      <c r="D12" s="241">
        <f>+Financiamento!D18</f>
        <v>0</v>
      </c>
      <c r="E12" s="241">
        <f>+Financiamento!E18</f>
        <v>0</v>
      </c>
      <c r="F12" s="241">
        <f>+Financiamento!F18</f>
        <v>0</v>
      </c>
      <c r="G12" s="241">
        <f>+Financiamento!G18</f>
        <v>0</v>
      </c>
      <c r="H12" s="241">
        <f>+Financiamento!H18</f>
        <v>0</v>
      </c>
    </row>
    <row r="13" spans="1:8" ht="9.75">
      <c r="A13" s="128" t="s">
        <v>96</v>
      </c>
      <c r="B13" s="103"/>
      <c r="C13" s="241"/>
      <c r="D13" s="241"/>
      <c r="E13" s="241"/>
      <c r="F13" s="241"/>
      <c r="G13" s="241"/>
      <c r="H13" s="241"/>
    </row>
    <row r="14" spans="1:8" ht="9.75">
      <c r="A14" s="128" t="s">
        <v>97</v>
      </c>
      <c r="B14" s="103"/>
      <c r="C14" s="241">
        <f>+IF(FundoManeio!C24&lt;0,-FundoManeio!C24,0)</f>
        <v>0</v>
      </c>
      <c r="D14" s="241">
        <f>+IF(FundoManeio!D24&lt;0,-FundoManeio!D24,0)</f>
        <v>0</v>
      </c>
      <c r="E14" s="241">
        <f>+IF(FundoManeio!E24&lt;0,-FundoManeio!E24,0)</f>
        <v>0</v>
      </c>
      <c r="F14" s="241">
        <f>+IF(FundoManeio!F24&lt;0,-FundoManeio!F24,0)</f>
        <v>0</v>
      </c>
      <c r="G14" s="241">
        <f>+IF(FundoManeio!G24&lt;0,-FundoManeio!G24,0)</f>
        <v>0</v>
      </c>
      <c r="H14" s="241">
        <f>+IF(FundoManeio!H24&lt;0,-FundoManeio!H24,0)</f>
        <v>0</v>
      </c>
    </row>
    <row r="15" spans="1:8" ht="9.75">
      <c r="A15" s="128" t="s">
        <v>47</v>
      </c>
      <c r="B15" s="103"/>
      <c r="C15" s="241">
        <f>+'DR'!B27</f>
        <v>0</v>
      </c>
      <c r="D15" s="241">
        <f>+'DR'!C27</f>
        <v>0</v>
      </c>
      <c r="E15" s="241">
        <f>+'DR'!D27</f>
        <v>0</v>
      </c>
      <c r="F15" s="241">
        <f>+'DR'!E27</f>
        <v>0</v>
      </c>
      <c r="G15" s="241">
        <f>+'DR'!F27</f>
        <v>0</v>
      </c>
      <c r="H15" s="241">
        <f>+'DR'!G27</f>
        <v>0</v>
      </c>
    </row>
    <row r="16" spans="1:8" ht="9.75">
      <c r="A16" s="557"/>
      <c r="B16" s="558"/>
      <c r="C16" s="242"/>
      <c r="D16" s="242"/>
      <c r="E16" s="242"/>
      <c r="F16" s="242"/>
      <c r="G16" s="242"/>
      <c r="H16" s="242"/>
    </row>
    <row r="17" spans="1:8" ht="9.75">
      <c r="A17" s="553" t="s">
        <v>98</v>
      </c>
      <c r="B17" s="554"/>
      <c r="C17" s="243">
        <f aca="true" t="shared" si="0" ref="C17:H17">+SUM(C9:C16)</f>
        <v>136950</v>
      </c>
      <c r="D17" s="243">
        <f t="shared" si="0"/>
        <v>139530</v>
      </c>
      <c r="E17" s="243">
        <f t="shared" si="0"/>
        <v>142147.32</v>
      </c>
      <c r="F17" s="243">
        <f t="shared" si="0"/>
        <v>144802.5636</v>
      </c>
      <c r="G17" s="243">
        <f t="shared" si="0"/>
        <v>147496.34504400005</v>
      </c>
      <c r="H17" s="243">
        <f t="shared" si="0"/>
        <v>150229.28941860003</v>
      </c>
    </row>
    <row r="18" spans="1:8" ht="14.25" customHeight="1">
      <c r="A18" s="555" t="s">
        <v>106</v>
      </c>
      <c r="B18" s="556"/>
      <c r="C18" s="244"/>
      <c r="D18" s="244"/>
      <c r="E18" s="244"/>
      <c r="F18" s="244"/>
      <c r="G18" s="244"/>
      <c r="H18" s="244"/>
    </row>
    <row r="19" spans="1:8" ht="9.75">
      <c r="A19" s="128" t="s">
        <v>99</v>
      </c>
      <c r="B19" s="84"/>
      <c r="C19" s="241">
        <f>+Investimento!C29</f>
        <v>80000</v>
      </c>
      <c r="D19" s="241">
        <f>+Investimento!D29</f>
        <v>0</v>
      </c>
      <c r="E19" s="241">
        <f>+Investimento!E29</f>
        <v>0</v>
      </c>
      <c r="F19" s="241">
        <f>+Investimento!F29</f>
        <v>0</v>
      </c>
      <c r="G19" s="241">
        <f>+Investimento!G29</f>
        <v>0</v>
      </c>
      <c r="H19" s="241">
        <f>+Investimento!H29</f>
        <v>0</v>
      </c>
    </row>
    <row r="20" spans="1:8" ht="9.75">
      <c r="A20" s="128" t="s">
        <v>100</v>
      </c>
      <c r="B20" s="84"/>
      <c r="C20" s="241">
        <f>+IF(FundoManeio!C24&gt;0,FundoManeio!C24,0)</f>
        <v>15166</v>
      </c>
      <c r="D20" s="241">
        <f>+IF(FundoManeio!D24&gt;0,FundoManeio!D24,0)</f>
        <v>226.6999999999971</v>
      </c>
      <c r="E20" s="241">
        <f>+IF(FundoManeio!E24&gt;0,FundoManeio!E24,0)</f>
        <v>229.93180000000575</v>
      </c>
      <c r="F20" s="241">
        <f>+IF(FundoManeio!F24&gt;0,FundoManeio!F24,0)</f>
        <v>233.2152139999962</v>
      </c>
      <c r="G20" s="241">
        <f>+IF(FundoManeio!G24&gt;0,FundoManeio!G24,0)</f>
        <v>236.5511440600094</v>
      </c>
      <c r="H20" s="241">
        <f>+IF(FundoManeio!H24&gt;0,FundoManeio!H24,0)</f>
        <v>239.9405089789907</v>
      </c>
    </row>
    <row r="21" spans="1:8" ht="9.75">
      <c r="A21" s="128" t="s">
        <v>165</v>
      </c>
      <c r="B21" s="84"/>
      <c r="C21" s="241"/>
      <c r="D21" s="241">
        <f>+'DR'!B30</f>
        <v>27774.699999999997</v>
      </c>
      <c r="E21" s="241">
        <f>+'DR'!C30</f>
        <v>28401.256</v>
      </c>
      <c r="F21" s="241">
        <f>+'DR'!D30</f>
        <v>29036.881240000002</v>
      </c>
      <c r="G21" s="241">
        <f>+'DR'!E30</f>
        <v>29681.722486</v>
      </c>
      <c r="H21" s="241">
        <f>+'DR'!F30</f>
        <v>35335.929093132014</v>
      </c>
    </row>
    <row r="22" spans="1:8" ht="9.75">
      <c r="A22" s="128" t="s">
        <v>166</v>
      </c>
      <c r="B22" s="84"/>
      <c r="C22" s="440"/>
      <c r="D22" s="440"/>
      <c r="E22" s="440"/>
      <c r="F22" s="440"/>
      <c r="G22" s="440"/>
      <c r="H22" s="440"/>
    </row>
    <row r="23" spans="1:8" ht="9.75">
      <c r="A23" s="128" t="s">
        <v>101</v>
      </c>
      <c r="B23" s="84"/>
      <c r="C23" s="241">
        <f>+Financiamento!C104</f>
        <v>0</v>
      </c>
      <c r="D23" s="241">
        <f>+Financiamento!D104</f>
        <v>0</v>
      </c>
      <c r="E23" s="241">
        <f>+Financiamento!E104</f>
        <v>0</v>
      </c>
      <c r="F23" s="241">
        <f>+Financiamento!F104</f>
        <v>0</v>
      </c>
      <c r="G23" s="241">
        <f>+Financiamento!G104</f>
        <v>0</v>
      </c>
      <c r="H23" s="241">
        <f>+Financiamento!H104</f>
        <v>0</v>
      </c>
    </row>
    <row r="24" spans="1:8" ht="9.75">
      <c r="A24" s="128" t="s">
        <v>102</v>
      </c>
      <c r="B24" s="84"/>
      <c r="C24" s="241">
        <f>+'DR'!B28</f>
        <v>0</v>
      </c>
      <c r="D24" s="241">
        <f>+'DR'!C28</f>
        <v>0</v>
      </c>
      <c r="E24" s="241">
        <f>+'DR'!D28</f>
        <v>0</v>
      </c>
      <c r="F24" s="241">
        <f>+'DR'!E28</f>
        <v>0</v>
      </c>
      <c r="G24" s="241">
        <f>+'DR'!F28</f>
        <v>0</v>
      </c>
      <c r="H24" s="241">
        <f>+'DR'!G28</f>
        <v>0</v>
      </c>
    </row>
    <row r="25" spans="1:8" ht="9.75">
      <c r="A25" s="557"/>
      <c r="B25" s="558"/>
      <c r="C25" s="241"/>
      <c r="D25" s="241"/>
      <c r="E25" s="241"/>
      <c r="F25" s="241"/>
      <c r="G25" s="241"/>
      <c r="H25" s="241"/>
    </row>
    <row r="26" spans="1:8" ht="9.75">
      <c r="A26" s="553" t="s">
        <v>103</v>
      </c>
      <c r="B26" s="554"/>
      <c r="C26" s="243">
        <f aca="true" t="shared" si="1" ref="C26:H26">+SUM(C19:C25)</f>
        <v>95166</v>
      </c>
      <c r="D26" s="243">
        <f t="shared" si="1"/>
        <v>28001.399999999994</v>
      </c>
      <c r="E26" s="243">
        <f t="shared" si="1"/>
        <v>28631.187800000007</v>
      </c>
      <c r="F26" s="243">
        <f t="shared" si="1"/>
        <v>29270.096454</v>
      </c>
      <c r="G26" s="243">
        <f t="shared" si="1"/>
        <v>29918.273630060008</v>
      </c>
      <c r="H26" s="243">
        <f t="shared" si="1"/>
        <v>35575.86960211101</v>
      </c>
    </row>
    <row r="27" spans="1:8" ht="9.75">
      <c r="A27" s="551" t="s">
        <v>104</v>
      </c>
      <c r="B27" s="552"/>
      <c r="C27" s="243">
        <f aca="true" t="shared" si="2" ref="C27:H27">+C17-C26</f>
        <v>41784</v>
      </c>
      <c r="D27" s="243">
        <f t="shared" si="2"/>
        <v>111528.6</v>
      </c>
      <c r="E27" s="243">
        <f t="shared" si="2"/>
        <v>113516.1322</v>
      </c>
      <c r="F27" s="243">
        <f t="shared" si="2"/>
        <v>115532.467146</v>
      </c>
      <c r="G27" s="243">
        <f t="shared" si="2"/>
        <v>117578.07141394004</v>
      </c>
      <c r="H27" s="243">
        <f t="shared" si="2"/>
        <v>114653.41981648903</v>
      </c>
    </row>
    <row r="28" spans="1:8" ht="9.75">
      <c r="A28" s="551" t="s">
        <v>113</v>
      </c>
      <c r="B28" s="552"/>
      <c r="C28" s="243">
        <f>+C27</f>
        <v>41784</v>
      </c>
      <c r="D28" s="243">
        <f>+C28+D27</f>
        <v>153312.6</v>
      </c>
      <c r="E28" s="243">
        <f>+D28+E27</f>
        <v>266828.73219999997</v>
      </c>
      <c r="F28" s="243">
        <f>+E28+F27</f>
        <v>382361.199346</v>
      </c>
      <c r="G28" s="243">
        <f>+F28+G27</f>
        <v>499939.27075994003</v>
      </c>
      <c r="H28" s="243">
        <f>+G28+H27</f>
        <v>614592.690576429</v>
      </c>
    </row>
    <row r="29" spans="1:8" ht="9.75">
      <c r="A29" s="551" t="s">
        <v>205</v>
      </c>
      <c r="B29" s="552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9.75">
      <c r="A30" s="551" t="s">
        <v>114</v>
      </c>
      <c r="B30" s="552"/>
      <c r="C30" s="49">
        <f aca="true" t="shared" si="3" ref="C30:H30">+C28-C29</f>
        <v>41784</v>
      </c>
      <c r="D30" s="49">
        <f t="shared" si="3"/>
        <v>153312.6</v>
      </c>
      <c r="E30" s="49">
        <f t="shared" si="3"/>
        <v>266828.73219999997</v>
      </c>
      <c r="F30" s="49">
        <f t="shared" si="3"/>
        <v>382361.199346</v>
      </c>
      <c r="G30" s="49">
        <f t="shared" si="3"/>
        <v>499939.27075994003</v>
      </c>
      <c r="H30" s="49">
        <f t="shared" si="3"/>
        <v>614592.690576429</v>
      </c>
    </row>
    <row r="31" spans="1:8" ht="9.75">
      <c r="A31" s="63"/>
      <c r="B31" s="63"/>
      <c r="C31" s="63"/>
      <c r="D31" s="63"/>
      <c r="E31" s="63"/>
      <c r="F31" s="63"/>
      <c r="G31" s="63"/>
      <c r="H31" s="63"/>
    </row>
    <row r="32" spans="1:8" ht="9.75">
      <c r="A32" s="63"/>
      <c r="B32" s="63"/>
      <c r="C32" s="63"/>
      <c r="D32" s="63"/>
      <c r="E32" s="63"/>
      <c r="F32" s="63"/>
      <c r="G32" s="63"/>
      <c r="H32" s="63"/>
    </row>
    <row r="33" spans="1:8" ht="9.75">
      <c r="A33" s="63"/>
      <c r="B33" s="63"/>
      <c r="C33" s="63"/>
      <c r="D33" s="63"/>
      <c r="E33" s="63"/>
      <c r="F33" s="63"/>
      <c r="G33" s="63"/>
      <c r="H33" s="63"/>
    </row>
    <row r="34" spans="1:8" ht="9.75">
      <c r="A34" s="168"/>
      <c r="B34" s="63"/>
      <c r="C34" s="63"/>
      <c r="D34" s="63"/>
      <c r="E34" s="211"/>
      <c r="F34" s="63"/>
      <c r="G34" s="63"/>
      <c r="H34" s="63"/>
    </row>
    <row r="35" spans="1:8" ht="9.75">
      <c r="A35" s="63"/>
      <c r="B35" s="63"/>
      <c r="C35" s="63"/>
      <c r="D35" s="63"/>
      <c r="E35" s="63"/>
      <c r="F35" s="63"/>
      <c r="G35" s="63"/>
      <c r="H35" s="63"/>
    </row>
  </sheetData>
  <sheetProtection password="8318" sheet="1"/>
  <mergeCells count="11">
    <mergeCell ref="A25:B25"/>
    <mergeCell ref="A30:B30"/>
    <mergeCell ref="A29:B29"/>
    <mergeCell ref="A28:B28"/>
    <mergeCell ref="A26:B26"/>
    <mergeCell ref="A27:B27"/>
    <mergeCell ref="A4:H4"/>
    <mergeCell ref="A18:B18"/>
    <mergeCell ref="A8:B8"/>
    <mergeCell ref="A17:B17"/>
    <mergeCell ref="A16:B16"/>
  </mergeCells>
  <printOptions/>
  <pageMargins left="0.75" right="0.75" top="0.3937007874015748" bottom="0.3937007874015748" header="0.5118110236220472" footer="0.5118110236220472"/>
  <pageSetup horizontalDpi="600" verticalDpi="600" orientation="portrait" paperSize="9" scale="90"/>
  <headerFooter alignWithMargins="0">
    <oddFooter>&amp;C&amp;"Arial,Normal"&amp;8IAPMEI&amp;R&amp;"Arial,Normal"&amp;8&amp;P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showGridLines="0" showZeros="0" zoomScale="150" zoomScaleNormal="150" workbookViewId="0" topLeftCell="A24">
      <selection activeCell="D33" sqref="D33"/>
    </sheetView>
  </sheetViews>
  <sheetFormatPr defaultColWidth="8.7109375" defaultRowHeight="12.75"/>
  <cols>
    <col min="1" max="1" width="26.421875" style="73" customWidth="1"/>
    <col min="2" max="2" width="7.421875" style="73" customWidth="1"/>
    <col min="3" max="12" width="11.421875" style="73" customWidth="1"/>
    <col min="13" max="16384" width="8.7109375" style="73" customWidth="1"/>
  </cols>
  <sheetData>
    <row r="1" spans="1:8" ht="12.75">
      <c r="A1" s="63"/>
      <c r="B1" s="63"/>
      <c r="C1" s="245"/>
      <c r="D1" s="245"/>
      <c r="E1" s="245"/>
      <c r="F1" s="245"/>
      <c r="G1" s="246" t="s">
        <v>63</v>
      </c>
      <c r="H1" s="247" t="str">
        <f>+Pressupostos!E1</f>
        <v>XPTO, Lda</v>
      </c>
    </row>
    <row r="2" spans="1:8" s="250" customFormat="1" ht="12.75">
      <c r="A2" s="248"/>
      <c r="B2" s="248"/>
      <c r="C2" s="248"/>
      <c r="D2" s="248"/>
      <c r="E2" s="248"/>
      <c r="F2" s="248"/>
      <c r="G2" s="248"/>
      <c r="H2" s="249" t="str">
        <f>+Pressupostos!B9</f>
        <v>Euros</v>
      </c>
    </row>
    <row r="3" spans="1:8" s="250" customFormat="1" ht="12.75">
      <c r="A3" s="248"/>
      <c r="B3" s="248"/>
      <c r="C3" s="248"/>
      <c r="D3" s="248"/>
      <c r="E3" s="248"/>
      <c r="F3" s="248"/>
      <c r="G3" s="248"/>
      <c r="H3" s="249"/>
    </row>
    <row r="4" spans="1:8" ht="15.75">
      <c r="A4" s="511" t="s">
        <v>57</v>
      </c>
      <c r="B4" s="511"/>
      <c r="C4" s="511"/>
      <c r="D4" s="511"/>
      <c r="E4" s="511"/>
      <c r="F4" s="511"/>
      <c r="G4" s="511"/>
      <c r="H4" s="511"/>
    </row>
    <row r="5" spans="1:8" ht="9.75">
      <c r="A5" s="63"/>
      <c r="B5" s="63"/>
      <c r="C5" s="152"/>
      <c r="D5" s="63"/>
      <c r="E5" s="63"/>
      <c r="F5" s="63"/>
      <c r="G5" s="63"/>
      <c r="H5" s="63"/>
    </row>
    <row r="6" spans="1:8" ht="9.75">
      <c r="A6" s="63"/>
      <c r="B6" s="63"/>
      <c r="C6" s="152"/>
      <c r="D6" s="63"/>
      <c r="E6" s="63"/>
      <c r="F6" s="63"/>
      <c r="G6" s="63"/>
      <c r="H6" s="63"/>
    </row>
    <row r="7" spans="1:8" ht="9.75">
      <c r="A7" s="61"/>
      <c r="B7" s="84"/>
      <c r="C7" s="60">
        <f>+VN!C8</f>
        <v>2017</v>
      </c>
      <c r="D7" s="60">
        <f>+VN!D8</f>
        <v>2018</v>
      </c>
      <c r="E7" s="60">
        <f>+VN!E8</f>
        <v>2019</v>
      </c>
      <c r="F7" s="60">
        <f>+VN!F8</f>
        <v>2020</v>
      </c>
      <c r="G7" s="60">
        <f>+VN!G8</f>
        <v>2021</v>
      </c>
      <c r="H7" s="60">
        <f>+VN!H8</f>
        <v>2022</v>
      </c>
    </row>
    <row r="8" spans="1:8" ht="9.75">
      <c r="A8" s="559" t="s">
        <v>48</v>
      </c>
      <c r="B8" s="560"/>
      <c r="C8" s="251"/>
      <c r="D8" s="251"/>
      <c r="E8" s="251"/>
      <c r="F8" s="251"/>
      <c r="G8" s="251"/>
      <c r="H8" s="251"/>
    </row>
    <row r="9" spans="1:8" ht="9.75">
      <c r="A9" s="153" t="s">
        <v>310</v>
      </c>
      <c r="B9" s="134"/>
      <c r="C9" s="156">
        <f aca="true" t="shared" si="0" ref="C9:H9">SUM(C10:C13)</f>
        <v>60000</v>
      </c>
      <c r="D9" s="156">
        <f t="shared" si="0"/>
        <v>40000</v>
      </c>
      <c r="E9" s="156">
        <f t="shared" si="0"/>
        <v>20000</v>
      </c>
      <c r="F9" s="156">
        <f t="shared" si="0"/>
        <v>0</v>
      </c>
      <c r="G9" s="156">
        <f t="shared" si="0"/>
        <v>0</v>
      </c>
      <c r="H9" s="156">
        <f t="shared" si="0"/>
        <v>0</v>
      </c>
    </row>
    <row r="10" spans="1:8" ht="9.75">
      <c r="A10" s="64" t="s">
        <v>262</v>
      </c>
      <c r="B10" s="134"/>
      <c r="C10" s="117">
        <f>+Investimento!C180</f>
        <v>60000</v>
      </c>
      <c r="D10" s="117">
        <f>+Investimento!D180</f>
        <v>40000</v>
      </c>
      <c r="E10" s="117">
        <f>+Investimento!E180</f>
        <v>20000</v>
      </c>
      <c r="F10" s="117">
        <f>+Investimento!F180</f>
        <v>0</v>
      </c>
      <c r="G10" s="117">
        <f>+Investimento!G180</f>
        <v>0</v>
      </c>
      <c r="H10" s="117">
        <f>+Investimento!H180</f>
        <v>0</v>
      </c>
    </row>
    <row r="11" spans="1:8" ht="9.75">
      <c r="A11" s="64" t="s">
        <v>257</v>
      </c>
      <c r="B11" s="134"/>
      <c r="C11" s="117">
        <f>+Investimento!C179</f>
        <v>0</v>
      </c>
      <c r="D11" s="117">
        <f>+Investimento!D179</f>
        <v>0</v>
      </c>
      <c r="E11" s="117">
        <f>+Investimento!E179</f>
        <v>0</v>
      </c>
      <c r="F11" s="117">
        <f>+Investimento!F179</f>
        <v>0</v>
      </c>
      <c r="G11" s="117">
        <f>+Investimento!G179</f>
        <v>0</v>
      </c>
      <c r="H11" s="117">
        <f>+Investimento!H179</f>
        <v>0</v>
      </c>
    </row>
    <row r="12" spans="1:8" ht="9.75">
      <c r="A12" s="64" t="s">
        <v>311</v>
      </c>
      <c r="B12" s="134"/>
      <c r="C12" s="117">
        <f>+Investimento!C181</f>
        <v>0</v>
      </c>
      <c r="D12" s="117">
        <f>+Investimento!D181</f>
        <v>0</v>
      </c>
      <c r="E12" s="117">
        <f>+Investimento!E181</f>
        <v>0</v>
      </c>
      <c r="F12" s="117">
        <f>+Investimento!F181</f>
        <v>0</v>
      </c>
      <c r="G12" s="117">
        <f>+Investimento!G181</f>
        <v>0</v>
      </c>
      <c r="H12" s="117">
        <f>+Investimento!H181</f>
        <v>0</v>
      </c>
    </row>
    <row r="13" spans="1:8" ht="9.75">
      <c r="A13" s="64" t="s">
        <v>312</v>
      </c>
      <c r="B13" s="134"/>
      <c r="C13" s="117"/>
      <c r="D13" s="117"/>
      <c r="E13" s="117"/>
      <c r="F13" s="117"/>
      <c r="G13" s="117"/>
      <c r="H13" s="117"/>
    </row>
    <row r="14" spans="1:8" ht="9.75">
      <c r="A14" s="64"/>
      <c r="B14" s="134"/>
      <c r="C14" s="117"/>
      <c r="D14" s="117"/>
      <c r="E14" s="117"/>
      <c r="F14" s="117"/>
      <c r="G14" s="117"/>
      <c r="H14" s="117"/>
    </row>
    <row r="15" spans="1:10" ht="9.75">
      <c r="A15" s="153" t="s">
        <v>313</v>
      </c>
      <c r="B15" s="134"/>
      <c r="C15" s="156">
        <f aca="true" t="shared" si="1" ref="C15:H15">SUM(C16:C22)</f>
        <v>21678.8</v>
      </c>
      <c r="D15" s="156">
        <f t="shared" si="1"/>
        <v>16098.723999999998</v>
      </c>
      <c r="E15" s="156">
        <f t="shared" si="1"/>
        <v>10448.669960000005</v>
      </c>
      <c r="F15" s="156">
        <f t="shared" si="1"/>
        <v>4727.654554000001</v>
      </c>
      <c r="G15" s="156">
        <f t="shared" si="1"/>
        <v>-1065.321048171992</v>
      </c>
      <c r="H15" s="156">
        <f t="shared" si="1"/>
        <v>-6931.271449319958</v>
      </c>
      <c r="I15" s="170"/>
      <c r="J15" s="170"/>
    </row>
    <row r="16" spans="1:10" ht="9.75">
      <c r="A16" s="64" t="s">
        <v>314</v>
      </c>
      <c r="B16" s="134"/>
      <c r="C16" s="117">
        <f>+FundoManeio!C11</f>
        <v>3150</v>
      </c>
      <c r="D16" s="117">
        <f>+FundoManeio!D11</f>
        <v>3187.5</v>
      </c>
      <c r="E16" s="117">
        <f>+FundoManeio!E11</f>
        <v>3225.495000000001</v>
      </c>
      <c r="F16" s="117">
        <f>+FundoManeio!F11</f>
        <v>3263.9923500000004</v>
      </c>
      <c r="G16" s="117">
        <f>+FundoManeio!G11</f>
        <v>3302.9995215000004</v>
      </c>
      <c r="H16" s="117">
        <f>+FundoManeio!H11</f>
        <v>3342.524109675001</v>
      </c>
      <c r="I16" s="170"/>
      <c r="J16" s="170"/>
    </row>
    <row r="17" spans="1:10" ht="9.75">
      <c r="A17" s="64" t="s">
        <v>49</v>
      </c>
      <c r="B17" s="134"/>
      <c r="C17" s="117">
        <f>+FundoManeio!C10-VN!C87</f>
        <v>18528.8</v>
      </c>
      <c r="D17" s="117">
        <f>+FundoManeio!D10-SUM(VN!C87:D87)</f>
        <v>12911.223999999998</v>
      </c>
      <c r="E17" s="117">
        <f>+FundoManeio!E10-SUM(VN!C87:E87)</f>
        <v>7223.174960000004</v>
      </c>
      <c r="F17" s="117">
        <f>+FundoManeio!F10-SUM(VN!C87:F87)</f>
        <v>1463.6622040000002</v>
      </c>
      <c r="G17" s="117">
        <f>+FundoManeio!G10-SUM(VN!C87:G87)</f>
        <v>-4368.320569671992</v>
      </c>
      <c r="H17" s="117">
        <f>+FundoManeio!H10-SUM(VN!C87:H87)</f>
        <v>-10273.79555899496</v>
      </c>
      <c r="I17" s="170"/>
      <c r="J17" s="170"/>
    </row>
    <row r="18" spans="1:10" ht="9.75">
      <c r="A18" s="64" t="s">
        <v>206</v>
      </c>
      <c r="B18" s="134"/>
      <c r="C18" s="117">
        <f>+FundoManeio!C12</f>
        <v>0</v>
      </c>
      <c r="D18" s="117">
        <f>+FundoManeio!D12</f>
        <v>0</v>
      </c>
      <c r="E18" s="117">
        <f>+FundoManeio!E12</f>
        <v>0</v>
      </c>
      <c r="F18" s="117">
        <f>+FundoManeio!F12</f>
        <v>0</v>
      </c>
      <c r="G18" s="117">
        <f>+FundoManeio!G12</f>
        <v>0</v>
      </c>
      <c r="H18" s="117">
        <f>+FundoManeio!H12</f>
        <v>0</v>
      </c>
      <c r="I18" s="170"/>
      <c r="J18" s="170"/>
    </row>
    <row r="19" spans="1:10" ht="9.75">
      <c r="A19" s="64" t="s">
        <v>307</v>
      </c>
      <c r="B19" s="134"/>
      <c r="C19" s="117"/>
      <c r="D19" s="117"/>
      <c r="E19" s="117"/>
      <c r="F19" s="117"/>
      <c r="G19" s="117"/>
      <c r="H19" s="117"/>
      <c r="I19" s="170"/>
      <c r="J19" s="170"/>
    </row>
    <row r="20" spans="1:10" ht="9.75">
      <c r="A20" s="64" t="s">
        <v>315</v>
      </c>
      <c r="B20" s="134"/>
      <c r="C20" s="117"/>
      <c r="D20" s="117"/>
      <c r="E20" s="117"/>
      <c r="F20" s="117"/>
      <c r="G20" s="117"/>
      <c r="H20" s="117"/>
      <c r="I20" s="170"/>
      <c r="J20" s="170"/>
    </row>
    <row r="21" spans="1:10" ht="9.75">
      <c r="A21" s="64" t="s">
        <v>316</v>
      </c>
      <c r="B21" s="134"/>
      <c r="C21" s="117"/>
      <c r="D21" s="117"/>
      <c r="E21" s="117"/>
      <c r="F21" s="117"/>
      <c r="G21" s="117"/>
      <c r="H21" s="117"/>
      <c r="I21" s="170"/>
      <c r="J21" s="170"/>
    </row>
    <row r="22" spans="1:10" ht="9.75">
      <c r="A22" s="64" t="s">
        <v>317</v>
      </c>
      <c r="B22" s="134"/>
      <c r="C22" s="117">
        <f>+IF(PlanoFinanceiro!C29&gt;0,PlanoFinanceiro!C29,0)+FundoManeio!C9</f>
        <v>0</v>
      </c>
      <c r="D22" s="117">
        <f>+IF(PlanoFinanceiro!D29&gt;0,PlanoFinanceiro!D29,0)+FundoManeio!D9</f>
        <v>0</v>
      </c>
      <c r="E22" s="117">
        <f>+IF(PlanoFinanceiro!E29&gt;0,PlanoFinanceiro!E29,0)+FundoManeio!E9</f>
        <v>0</v>
      </c>
      <c r="F22" s="117">
        <f>+IF(PlanoFinanceiro!F29&gt;0,PlanoFinanceiro!F29,0)+FundoManeio!F9</f>
        <v>0</v>
      </c>
      <c r="G22" s="117">
        <f>+IF(PlanoFinanceiro!G29&gt;0,PlanoFinanceiro!G29,0)+FundoManeio!G9</f>
        <v>0</v>
      </c>
      <c r="H22" s="117">
        <f>+IF(PlanoFinanceiro!H29&gt;0,PlanoFinanceiro!H29,0)+FundoManeio!H9</f>
        <v>0</v>
      </c>
      <c r="I22" s="170"/>
      <c r="J22" s="170"/>
    </row>
    <row r="23" spans="1:10" ht="10.5" thickBot="1">
      <c r="A23" s="520" t="s">
        <v>51</v>
      </c>
      <c r="B23" s="521"/>
      <c r="C23" s="252">
        <f aca="true" t="shared" si="2" ref="C23:H23">+C15+C9</f>
        <v>81678.8</v>
      </c>
      <c r="D23" s="252">
        <f t="shared" si="2"/>
        <v>56098.724</v>
      </c>
      <c r="E23" s="252">
        <f t="shared" si="2"/>
        <v>30448.669960000007</v>
      </c>
      <c r="F23" s="252">
        <f t="shared" si="2"/>
        <v>4727.654554000001</v>
      </c>
      <c r="G23" s="252">
        <f t="shared" si="2"/>
        <v>-1065.321048171992</v>
      </c>
      <c r="H23" s="252">
        <f t="shared" si="2"/>
        <v>-6931.271449319958</v>
      </c>
      <c r="I23" s="170"/>
      <c r="J23" s="170"/>
    </row>
    <row r="24" spans="1:10" ht="10.5" thickTop="1">
      <c r="A24" s="197"/>
      <c r="B24" s="63"/>
      <c r="C24" s="126"/>
      <c r="D24" s="253"/>
      <c r="E24" s="253"/>
      <c r="F24" s="253"/>
      <c r="G24" s="253"/>
      <c r="H24" s="63"/>
      <c r="I24" s="170"/>
      <c r="J24" s="170"/>
    </row>
    <row r="25" spans="1:10" ht="9.75">
      <c r="A25" s="533" t="s">
        <v>207</v>
      </c>
      <c r="B25" s="561"/>
      <c r="C25" s="251"/>
      <c r="D25" s="251"/>
      <c r="E25" s="251"/>
      <c r="F25" s="251"/>
      <c r="G25" s="251"/>
      <c r="H25" s="251"/>
      <c r="I25" s="170"/>
      <c r="J25" s="170"/>
    </row>
    <row r="26" spans="1:10" ht="9.75">
      <c r="A26" s="141" t="s">
        <v>295</v>
      </c>
      <c r="B26" s="134"/>
      <c r="C26" s="117">
        <f>+Financiamento!C15</f>
        <v>0</v>
      </c>
      <c r="D26" s="117">
        <f>+C26+Financiamento!D15</f>
        <v>0</v>
      </c>
      <c r="E26" s="117">
        <f>+D26+Financiamento!E15</f>
        <v>0</v>
      </c>
      <c r="F26" s="117">
        <f>+E26+Financiamento!F15</f>
        <v>0</v>
      </c>
      <c r="G26" s="117">
        <f>+F26+Financiamento!G15</f>
        <v>0</v>
      </c>
      <c r="H26" s="117">
        <f>+G26+Financiamento!H15</f>
        <v>0</v>
      </c>
      <c r="I26" s="170"/>
      <c r="J26" s="170"/>
    </row>
    <row r="27" spans="1:10" ht="9.75">
      <c r="A27" s="141" t="s">
        <v>296</v>
      </c>
      <c r="B27" s="134"/>
      <c r="C27" s="117"/>
      <c r="D27" s="117"/>
      <c r="E27" s="117"/>
      <c r="F27" s="117"/>
      <c r="G27" s="117"/>
      <c r="H27" s="117"/>
      <c r="I27" s="170"/>
      <c r="J27" s="170"/>
    </row>
    <row r="28" spans="1:10" ht="9.75">
      <c r="A28" s="141" t="s">
        <v>297</v>
      </c>
      <c r="B28" s="134"/>
      <c r="C28" s="117">
        <f>+Financiamento!C16</f>
        <v>0</v>
      </c>
      <c r="D28" s="117">
        <f>+C28+Financiamento!D16</f>
        <v>0</v>
      </c>
      <c r="E28" s="117">
        <f>+D28+Financiamento!E16</f>
        <v>0</v>
      </c>
      <c r="F28" s="117">
        <f>+E28+Financiamento!F16</f>
        <v>0</v>
      </c>
      <c r="G28" s="117">
        <f>+F28+Financiamento!G16</f>
        <v>0</v>
      </c>
      <c r="H28" s="117">
        <f>+G28+Financiamento!H16</f>
        <v>0</v>
      </c>
      <c r="I28" s="170"/>
      <c r="J28" s="170"/>
    </row>
    <row r="29" spans="1:10" ht="9.75">
      <c r="A29" s="141" t="s">
        <v>367</v>
      </c>
      <c r="B29" s="134"/>
      <c r="C29" s="117"/>
      <c r="D29" s="117">
        <f>+C32-PlanoFinanceiro!D22</f>
        <v>83324.09999999999</v>
      </c>
      <c r="E29" s="117">
        <f>+D29+D32-PlanoFinanceiro!E22</f>
        <v>168527.86800000002</v>
      </c>
      <c r="F29" s="117">
        <f>+E29+E32-PlanoFinanceiro!F22</f>
        <v>255638.51172</v>
      </c>
      <c r="G29" s="117">
        <f>+F29+F32-PlanoFinanceiro!G22</f>
        <v>344683.679178</v>
      </c>
      <c r="H29" s="117">
        <f>+G29+G32-PlanoFinanceiro!H22</f>
        <v>450691.46645739605</v>
      </c>
      <c r="I29" s="170"/>
      <c r="J29" s="170"/>
    </row>
    <row r="30" spans="1:10" ht="9.75">
      <c r="A30" s="141" t="s">
        <v>298</v>
      </c>
      <c r="B30" s="134"/>
      <c r="C30" s="117"/>
      <c r="D30" s="117"/>
      <c r="E30" s="117"/>
      <c r="F30" s="117"/>
      <c r="G30" s="117"/>
      <c r="H30" s="117"/>
      <c r="I30" s="170"/>
      <c r="J30" s="170"/>
    </row>
    <row r="31" spans="1:10" ht="9.75">
      <c r="A31" s="141" t="s">
        <v>299</v>
      </c>
      <c r="B31" s="134"/>
      <c r="C31" s="117">
        <f>+Financiamento!C19</f>
        <v>0</v>
      </c>
      <c r="D31" s="117">
        <f>+C31+Financiamento!D19</f>
        <v>0</v>
      </c>
      <c r="E31" s="117">
        <f>+D31+Financiamento!E19</f>
        <v>0</v>
      </c>
      <c r="F31" s="117">
        <f>+E31+Financiamento!F19</f>
        <v>0</v>
      </c>
      <c r="G31" s="117">
        <f>+F31+Financiamento!G19</f>
        <v>0</v>
      </c>
      <c r="H31" s="117">
        <f>+G31+Financiamento!H19</f>
        <v>0</v>
      </c>
      <c r="I31" s="170"/>
      <c r="J31" s="170"/>
    </row>
    <row r="32" spans="1:10" ht="9.75">
      <c r="A32" s="141" t="s">
        <v>300</v>
      </c>
      <c r="B32" s="134"/>
      <c r="C32" s="117">
        <f>+'DR'!B31</f>
        <v>83324.09999999999</v>
      </c>
      <c r="D32" s="117">
        <f>+'DR'!C31</f>
        <v>85203.76800000001</v>
      </c>
      <c r="E32" s="117">
        <f>+'DR'!D31</f>
        <v>87110.64372000001</v>
      </c>
      <c r="F32" s="117">
        <f>+'DR'!E31</f>
        <v>89045.167458</v>
      </c>
      <c r="G32" s="117">
        <f>+'DR'!F31</f>
        <v>106007.78727939604</v>
      </c>
      <c r="H32" s="117">
        <f>+'DR'!G31</f>
        <v>107998.95916194232</v>
      </c>
      <c r="I32" s="170"/>
      <c r="J32" s="170"/>
    </row>
    <row r="33" spans="1:10" ht="10.5" thickBot="1">
      <c r="A33" s="520" t="s">
        <v>301</v>
      </c>
      <c r="B33" s="522"/>
      <c r="C33" s="319">
        <f aca="true" t="shared" si="3" ref="C33:H33">SUM(C26:C32)</f>
        <v>83324.09999999999</v>
      </c>
      <c r="D33" s="319">
        <f t="shared" si="3"/>
        <v>168527.86800000002</v>
      </c>
      <c r="E33" s="319">
        <f t="shared" si="3"/>
        <v>255638.51172</v>
      </c>
      <c r="F33" s="319">
        <f t="shared" si="3"/>
        <v>344683.679178</v>
      </c>
      <c r="G33" s="319">
        <f t="shared" si="3"/>
        <v>450691.46645739605</v>
      </c>
      <c r="H33" s="319">
        <f t="shared" si="3"/>
        <v>558690.4256193384</v>
      </c>
      <c r="I33" s="170"/>
      <c r="J33" s="170"/>
    </row>
    <row r="34" spans="1:10" ht="10.5" thickTop="1">
      <c r="A34" s="63"/>
      <c r="B34" s="63"/>
      <c r="C34" s="230"/>
      <c r="D34" s="230"/>
      <c r="E34" s="230"/>
      <c r="F34" s="230"/>
      <c r="G34" s="230"/>
      <c r="H34" s="230"/>
      <c r="I34" s="170"/>
      <c r="J34" s="170"/>
    </row>
    <row r="35" spans="1:10" ht="9.75">
      <c r="A35" s="562" t="s">
        <v>52</v>
      </c>
      <c r="B35" s="563"/>
      <c r="C35" s="317"/>
      <c r="D35" s="317"/>
      <c r="E35" s="317"/>
      <c r="F35" s="317"/>
      <c r="G35" s="317"/>
      <c r="H35" s="317"/>
      <c r="I35" s="170"/>
      <c r="J35" s="170"/>
    </row>
    <row r="36" spans="1:10" ht="9.75">
      <c r="A36" s="153"/>
      <c r="B36" s="134"/>
      <c r="C36" s="318"/>
      <c r="D36" s="318"/>
      <c r="E36" s="318"/>
      <c r="F36" s="318"/>
      <c r="G36" s="318"/>
      <c r="H36" s="318"/>
      <c r="I36" s="170"/>
      <c r="J36" s="170"/>
    </row>
    <row r="37" spans="1:10" ht="9.75">
      <c r="A37" s="153" t="s">
        <v>302</v>
      </c>
      <c r="B37" s="134"/>
      <c r="C37" s="156">
        <f aca="true" t="shared" si="4" ref="C37:H37">SUM(C38:C40)</f>
        <v>0</v>
      </c>
      <c r="D37" s="156">
        <f t="shared" si="4"/>
        <v>0</v>
      </c>
      <c r="E37" s="156">
        <f t="shared" si="4"/>
        <v>0</v>
      </c>
      <c r="F37" s="156">
        <f t="shared" si="4"/>
        <v>0</v>
      </c>
      <c r="G37" s="156">
        <f t="shared" si="4"/>
        <v>0</v>
      </c>
      <c r="H37" s="156">
        <f t="shared" si="4"/>
        <v>0</v>
      </c>
      <c r="I37" s="170"/>
      <c r="J37" s="170"/>
    </row>
    <row r="38" spans="1:10" ht="9.75">
      <c r="A38" s="64" t="s">
        <v>303</v>
      </c>
      <c r="B38" s="134"/>
      <c r="C38" s="117"/>
      <c r="D38" s="117"/>
      <c r="E38" s="117"/>
      <c r="F38" s="117"/>
      <c r="G38" s="117"/>
      <c r="H38" s="117"/>
      <c r="I38" s="170"/>
      <c r="J38" s="170"/>
    </row>
    <row r="39" spans="1:10" ht="9.75">
      <c r="A39" s="64" t="s">
        <v>304</v>
      </c>
      <c r="B39" s="134"/>
      <c r="C39" s="117">
        <f>+Financiamento!C101</f>
        <v>0</v>
      </c>
      <c r="D39" s="117">
        <f>+Financiamento!D101</f>
        <v>0</v>
      </c>
      <c r="E39" s="117">
        <f>+Financiamento!E101</f>
        <v>0</v>
      </c>
      <c r="F39" s="117">
        <f>+Financiamento!F101</f>
        <v>0</v>
      </c>
      <c r="G39" s="117">
        <f>+Financiamento!G101</f>
        <v>0</v>
      </c>
      <c r="H39" s="117">
        <f>+Financiamento!H101</f>
        <v>0</v>
      </c>
      <c r="I39" s="170"/>
      <c r="J39" s="170"/>
    </row>
    <row r="40" spans="1:10" ht="9.75">
      <c r="A40" s="64" t="s">
        <v>305</v>
      </c>
      <c r="B40" s="134"/>
      <c r="C40" s="254"/>
      <c r="D40" s="254"/>
      <c r="E40" s="254"/>
      <c r="F40" s="254"/>
      <c r="G40" s="254"/>
      <c r="H40" s="254"/>
      <c r="I40" s="170"/>
      <c r="J40" s="170"/>
    </row>
    <row r="41" spans="1:10" ht="9.75">
      <c r="A41" s="64"/>
      <c r="B41" s="134"/>
      <c r="C41" s="254"/>
      <c r="D41" s="254"/>
      <c r="E41" s="254"/>
      <c r="F41" s="254"/>
      <c r="G41" s="254"/>
      <c r="H41" s="254"/>
      <c r="I41" s="170"/>
      <c r="J41" s="170"/>
    </row>
    <row r="42" spans="1:10" ht="9.75">
      <c r="A42" s="153" t="s">
        <v>306</v>
      </c>
      <c r="B42" s="134"/>
      <c r="C42" s="365">
        <f aca="true" t="shared" si="5" ref="C42:H42">SUM(C43:C47)</f>
        <v>40138.7</v>
      </c>
      <c r="D42" s="365">
        <f t="shared" si="5"/>
        <v>40883.456000000006</v>
      </c>
      <c r="E42" s="365">
        <f t="shared" si="5"/>
        <v>41638.89044</v>
      </c>
      <c r="F42" s="365">
        <f t="shared" si="5"/>
        <v>42405.174722</v>
      </c>
      <c r="G42" s="365">
        <f t="shared" si="5"/>
        <v>48182.48325437202</v>
      </c>
      <c r="H42" s="365">
        <f t="shared" si="5"/>
        <v>48970.99350777078</v>
      </c>
      <c r="I42" s="170"/>
      <c r="J42" s="170"/>
    </row>
    <row r="43" spans="1:10" ht="9.75">
      <c r="A43" s="64" t="s">
        <v>16</v>
      </c>
      <c r="B43" s="134"/>
      <c r="C43" s="254">
        <f>+FundoManeio!C17</f>
        <v>9435.5</v>
      </c>
      <c r="D43" s="254">
        <f>+FundoManeio!D17</f>
        <v>9515</v>
      </c>
      <c r="E43" s="254">
        <f>+FundoManeio!E17</f>
        <v>9595.549400000002</v>
      </c>
      <c r="F43" s="254">
        <f>+FundoManeio!F17</f>
        <v>9677.163782000001</v>
      </c>
      <c r="G43" s="254">
        <f>+FundoManeio!G17</f>
        <v>9759.85898558</v>
      </c>
      <c r="H43" s="254">
        <f>+FundoManeio!H17</f>
        <v>9843.651112511003</v>
      </c>
      <c r="I43" s="170"/>
      <c r="J43" s="170"/>
    </row>
    <row r="44" spans="1:10" ht="9.75">
      <c r="A44" s="64" t="s">
        <v>206</v>
      </c>
      <c r="B44" s="134"/>
      <c r="C44" s="254">
        <f>+FundoManeio!C18+'DR'!B30</f>
        <v>30703.199999999997</v>
      </c>
      <c r="D44" s="254">
        <f>+FundoManeio!D18+'DR'!C30</f>
        <v>31368.456000000002</v>
      </c>
      <c r="E44" s="254">
        <f>+FundoManeio!E18+'DR'!D30</f>
        <v>32043.341040000003</v>
      </c>
      <c r="F44" s="254">
        <f>+FundoManeio!F18+'DR'!E30</f>
        <v>32728.01094</v>
      </c>
      <c r="G44" s="254">
        <f>+FundoManeio!G18+'DR'!F30</f>
        <v>38422.62426879202</v>
      </c>
      <c r="H44" s="254">
        <f>+FundoManeio!H18+'DR'!G30</f>
        <v>39127.34239525977</v>
      </c>
      <c r="I44" s="170"/>
      <c r="J44" s="170"/>
    </row>
    <row r="45" spans="1:10" ht="9.75">
      <c r="A45" s="64" t="s">
        <v>307</v>
      </c>
      <c r="B45" s="134"/>
      <c r="C45" s="254">
        <f>+Financiamento!C17</f>
        <v>0</v>
      </c>
      <c r="D45" s="254">
        <f>+C45+Financiamento!D17</f>
        <v>0</v>
      </c>
      <c r="E45" s="254">
        <f>+D45+Financiamento!E17</f>
        <v>0</v>
      </c>
      <c r="F45" s="254">
        <f>+E45+Financiamento!F17</f>
        <v>0</v>
      </c>
      <c r="G45" s="254">
        <f>+F45+Financiamento!G17</f>
        <v>0</v>
      </c>
      <c r="H45" s="254">
        <f>+G45+Financiamento!H17</f>
        <v>0</v>
      </c>
      <c r="I45" s="170"/>
      <c r="J45" s="170"/>
    </row>
    <row r="46" spans="1:10" ht="9.75">
      <c r="A46" s="64" t="s">
        <v>308</v>
      </c>
      <c r="B46" s="134"/>
      <c r="C46" s="254">
        <f>+IF(PlanoFinanceiro!C29&lt;0,-PlanoFinanceiro!C29,0)</f>
        <v>0</v>
      </c>
      <c r="D46" s="254">
        <f>+IF(PlanoFinanceiro!D29&lt;0,-PlanoFinanceiro!D29,0)</f>
        <v>0</v>
      </c>
      <c r="E46" s="254">
        <f>+IF(PlanoFinanceiro!E29&lt;0,-PlanoFinanceiro!E29,0)</f>
        <v>0</v>
      </c>
      <c r="F46" s="254">
        <f>+IF(PlanoFinanceiro!F29&lt;0,-PlanoFinanceiro!F29,0)</f>
        <v>0</v>
      </c>
      <c r="G46" s="254">
        <f>+IF(PlanoFinanceiro!G29&lt;0,-PlanoFinanceiro!G29,0)</f>
        <v>0</v>
      </c>
      <c r="H46" s="254">
        <f>+IF(PlanoFinanceiro!H29&lt;0,-PlanoFinanceiro!H29,0)</f>
        <v>0</v>
      </c>
      <c r="I46" s="170"/>
      <c r="J46" s="170"/>
    </row>
    <row r="47" spans="1:10" ht="9.75">
      <c r="A47" s="64" t="s">
        <v>309</v>
      </c>
      <c r="B47" s="134"/>
      <c r="C47" s="254"/>
      <c r="D47" s="254"/>
      <c r="E47" s="254"/>
      <c r="F47" s="254"/>
      <c r="G47" s="254"/>
      <c r="H47" s="254"/>
      <c r="I47" s="170"/>
      <c r="J47" s="170"/>
    </row>
    <row r="48" spans="1:10" ht="9.75">
      <c r="A48" s="153"/>
      <c r="B48" s="134"/>
      <c r="C48" s="254"/>
      <c r="D48" s="254"/>
      <c r="E48" s="254"/>
      <c r="F48" s="254"/>
      <c r="G48" s="254"/>
      <c r="H48" s="254"/>
      <c r="I48" s="170"/>
      <c r="J48" s="170"/>
    </row>
    <row r="49" spans="1:10" ht="10.5" thickBot="1">
      <c r="A49" s="520" t="s">
        <v>53</v>
      </c>
      <c r="B49" s="522"/>
      <c r="C49" s="319">
        <f aca="true" t="shared" si="6" ref="C49:H49">+C42+C37</f>
        <v>40138.7</v>
      </c>
      <c r="D49" s="319">
        <f t="shared" si="6"/>
        <v>40883.456000000006</v>
      </c>
      <c r="E49" s="319">
        <f t="shared" si="6"/>
        <v>41638.89044</v>
      </c>
      <c r="F49" s="319">
        <f t="shared" si="6"/>
        <v>42405.174722</v>
      </c>
      <c r="G49" s="319">
        <f t="shared" si="6"/>
        <v>48182.48325437202</v>
      </c>
      <c r="H49" s="319">
        <f t="shared" si="6"/>
        <v>48970.99350777078</v>
      </c>
      <c r="I49" s="170"/>
      <c r="J49" s="170"/>
    </row>
    <row r="50" spans="1:10" ht="10.5" thickTop="1">
      <c r="A50" s="121"/>
      <c r="B50" s="121"/>
      <c r="C50" s="230"/>
      <c r="D50" s="63"/>
      <c r="E50" s="63"/>
      <c r="F50" s="63"/>
      <c r="G50" s="63"/>
      <c r="H50" s="63"/>
      <c r="I50" s="170"/>
      <c r="J50" s="170"/>
    </row>
    <row r="51" spans="1:10" ht="10.5" thickBot="1">
      <c r="A51" s="521" t="s">
        <v>208</v>
      </c>
      <c r="B51" s="521"/>
      <c r="C51" s="40">
        <f aca="true" t="shared" si="7" ref="C51:H51">+C49+C33</f>
        <v>123462.79999999999</v>
      </c>
      <c r="D51" s="40">
        <f t="shared" si="7"/>
        <v>209411.32400000002</v>
      </c>
      <c r="E51" s="40">
        <f t="shared" si="7"/>
        <v>297277.40216</v>
      </c>
      <c r="F51" s="40">
        <f t="shared" si="7"/>
        <v>387088.85390000005</v>
      </c>
      <c r="G51" s="40">
        <f t="shared" si="7"/>
        <v>498873.9497117681</v>
      </c>
      <c r="H51" s="40">
        <f t="shared" si="7"/>
        <v>607661.4191271092</v>
      </c>
      <c r="I51" s="170"/>
      <c r="J51" s="170"/>
    </row>
    <row r="52" spans="3:8" ht="10.5" thickTop="1">
      <c r="C52" s="255"/>
      <c r="D52" s="255"/>
      <c r="E52" s="255"/>
      <c r="F52" s="255"/>
      <c r="G52" s="255"/>
      <c r="H52" s="255"/>
    </row>
    <row r="53" spans="3:8" ht="9.75">
      <c r="C53" s="284">
        <f aca="true" t="shared" si="8" ref="C53:H53">+C23-C51</f>
        <v>-41783.999999999985</v>
      </c>
      <c r="D53" s="284">
        <f t="shared" si="8"/>
        <v>-153312.60000000003</v>
      </c>
      <c r="E53" s="284">
        <f t="shared" si="8"/>
        <v>-266828.73219999997</v>
      </c>
      <c r="F53" s="284">
        <f t="shared" si="8"/>
        <v>-382361.19934600004</v>
      </c>
      <c r="G53" s="284">
        <f t="shared" si="8"/>
        <v>-499939.2707599401</v>
      </c>
      <c r="H53" s="284">
        <f t="shared" si="8"/>
        <v>-614592.6905764291</v>
      </c>
    </row>
    <row r="54" spans="3:8" ht="9.75">
      <c r="C54" s="255"/>
      <c r="D54" s="257">
        <f>+D53-C53</f>
        <v>-111528.60000000005</v>
      </c>
      <c r="E54" s="257">
        <f>+E53-D53</f>
        <v>-113516.13219999993</v>
      </c>
      <c r="F54" s="257">
        <f>+F53-E53</f>
        <v>-115532.46714600007</v>
      </c>
      <c r="G54" s="257">
        <f>+G53-F53</f>
        <v>-117578.07141394005</v>
      </c>
      <c r="H54" s="257">
        <f>+H53-G53</f>
        <v>-114653.41981648904</v>
      </c>
    </row>
    <row r="55" spans="3:8" ht="9.75">
      <c r="C55" s="255"/>
      <c r="D55" s="255"/>
      <c r="E55" s="255"/>
      <c r="F55" s="255"/>
      <c r="G55" s="255"/>
      <c r="H55" s="255"/>
    </row>
    <row r="56" spans="3:8" ht="9.75">
      <c r="C56" s="255"/>
      <c r="D56" s="256"/>
      <c r="E56" s="258"/>
      <c r="F56" s="258"/>
      <c r="G56" s="255"/>
      <c r="H56" s="255"/>
    </row>
    <row r="57" spans="3:8" ht="9.75">
      <c r="C57" s="250"/>
      <c r="D57" s="250"/>
      <c r="E57" s="250"/>
      <c r="F57" s="250"/>
      <c r="G57" s="250"/>
      <c r="H57" s="250"/>
    </row>
    <row r="58" spans="3:8" ht="9.75">
      <c r="C58" s="250"/>
      <c r="D58" s="250"/>
      <c r="E58" s="250"/>
      <c r="F58" s="250"/>
      <c r="G58" s="250"/>
      <c r="H58" s="250"/>
    </row>
    <row r="59" spans="3:8" ht="9.75">
      <c r="C59" s="250"/>
      <c r="D59" s="250"/>
      <c r="E59" s="250"/>
      <c r="F59" s="250"/>
      <c r="G59" s="250"/>
      <c r="H59" s="250"/>
    </row>
  </sheetData>
  <sheetProtection password="8318" sheet="1"/>
  <mergeCells count="8">
    <mergeCell ref="A51:B51"/>
    <mergeCell ref="A33:B33"/>
    <mergeCell ref="A4:H4"/>
    <mergeCell ref="A8:B8"/>
    <mergeCell ref="A23:B23"/>
    <mergeCell ref="A25:B25"/>
    <mergeCell ref="A35:B35"/>
    <mergeCell ref="A49:B4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/>
  <headerFooter alignWithMargins="0">
    <oddFooter>&amp;C&amp;"Arial,Normal"&amp;8IAPMEI&amp;R&amp;"Arial,Normal"&amp;8&amp;P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28"/>
  <sheetViews>
    <sheetView showGridLines="0" zoomScale="150" zoomScaleNormal="150" workbookViewId="0" topLeftCell="A2">
      <selection activeCell="I26" sqref="I26"/>
    </sheetView>
  </sheetViews>
  <sheetFormatPr defaultColWidth="8.7109375" defaultRowHeight="12.75"/>
  <cols>
    <col min="1" max="1" width="42.8515625" style="73" bestFit="1" customWidth="1"/>
    <col min="2" max="11" width="11.421875" style="73" customWidth="1"/>
    <col min="12" max="16384" width="8.7109375" style="73" customWidth="1"/>
  </cols>
  <sheetData>
    <row r="1" spans="1:7" ht="12.75">
      <c r="A1" s="63"/>
      <c r="B1" s="63"/>
      <c r="C1" s="57"/>
      <c r="D1" s="57"/>
      <c r="E1" s="57"/>
      <c r="F1" s="54" t="str">
        <f>+VN!G1</f>
        <v>Empresa:</v>
      </c>
      <c r="G1" s="98" t="str">
        <f>+Pressupostos!E1</f>
        <v>XPTO, Lda</v>
      </c>
    </row>
    <row r="2" spans="1:7" ht="12.75">
      <c r="A2" s="63"/>
      <c r="B2" s="63"/>
      <c r="C2" s="63"/>
      <c r="D2" s="63"/>
      <c r="E2" s="63"/>
      <c r="F2" s="63"/>
      <c r="G2" s="63"/>
    </row>
    <row r="3" spans="1:7" ht="12.75">
      <c r="A3" s="63"/>
      <c r="B3" s="63"/>
      <c r="C3" s="63"/>
      <c r="D3" s="63"/>
      <c r="E3" s="63"/>
      <c r="F3" s="63"/>
      <c r="G3" s="63"/>
    </row>
    <row r="4" spans="1:7" ht="15.75">
      <c r="A4" s="511" t="s">
        <v>59</v>
      </c>
      <c r="B4" s="511"/>
      <c r="C4" s="511"/>
      <c r="D4" s="511"/>
      <c r="E4" s="511"/>
      <c r="F4" s="511"/>
      <c r="G4" s="511"/>
    </row>
    <row r="5" spans="1:7" ht="10.5" thickBot="1">
      <c r="A5" s="63"/>
      <c r="B5" s="63"/>
      <c r="C5" s="63"/>
      <c r="D5" s="63"/>
      <c r="E5" s="63"/>
      <c r="F5" s="63"/>
      <c r="G5" s="63"/>
    </row>
    <row r="6" spans="1:7" ht="10.5" thickBot="1">
      <c r="A6" s="367" t="s">
        <v>118</v>
      </c>
      <c r="B6" s="368">
        <f>+VN!C8</f>
        <v>2017</v>
      </c>
      <c r="C6" s="368">
        <f>+VN!D8</f>
        <v>2018</v>
      </c>
      <c r="D6" s="368">
        <f>+VN!E8</f>
        <v>2019</v>
      </c>
      <c r="E6" s="368">
        <f>+VN!F8</f>
        <v>2020</v>
      </c>
      <c r="F6" s="368">
        <f>+VN!G8</f>
        <v>2021</v>
      </c>
      <c r="G6" s="369">
        <f>+VN!H8</f>
        <v>2022</v>
      </c>
    </row>
    <row r="7" spans="1:7" ht="9.75">
      <c r="A7" s="382" t="s">
        <v>116</v>
      </c>
      <c r="B7" s="200"/>
      <c r="C7" s="200">
        <f>+('DR'!C8/'DR'!B8)-1</f>
        <v>0.012608695652173818</v>
      </c>
      <c r="D7" s="200">
        <f>+('DR'!D8/'DR'!C8)-1</f>
        <v>0.012627737226277524</v>
      </c>
      <c r="E7" s="200">
        <f>+('DR'!E8/'DR'!D8)-1</f>
        <v>0.012646868017011537</v>
      </c>
      <c r="F7" s="200">
        <f>+('DR'!F8/'DR'!E8)-1</f>
        <v>0.012666087717862373</v>
      </c>
      <c r="G7" s="371">
        <f>+('DR'!G8/'DR'!F8)-1</f>
        <v>0.012685396010789551</v>
      </c>
    </row>
    <row r="8" spans="1:7" ht="10.5" thickBot="1">
      <c r="A8" s="382" t="s">
        <v>409</v>
      </c>
      <c r="B8" s="372">
        <f>'DR'!B31/'DR'!B8</f>
        <v>0.3018989130434782</v>
      </c>
      <c r="C8" s="372">
        <f>'DR'!C31/'DR'!C8</f>
        <v>0.3048653499355947</v>
      </c>
      <c r="D8" s="372">
        <f>'DR'!D31/'DR'!D8</f>
        <v>0.30780145564172473</v>
      </c>
      <c r="E8" s="372">
        <f>'DR'!E31/'DR'!E8</f>
        <v>0.3107075292375776</v>
      </c>
      <c r="F8" s="372">
        <f>'DR'!F31/'DR'!F8</f>
        <v>0.36526909233830285</v>
      </c>
      <c r="G8" s="373">
        <f>'DR'!G31/'DR'!G8</f>
        <v>0.3674685527360458</v>
      </c>
    </row>
    <row r="9" spans="1:7" ht="10.5" thickBot="1">
      <c r="A9" s="63"/>
      <c r="B9" s="63"/>
      <c r="C9" s="63"/>
      <c r="D9" s="63"/>
      <c r="E9" s="63"/>
      <c r="F9" s="63"/>
      <c r="G9" s="63"/>
    </row>
    <row r="10" spans="1:7" ht="10.5" thickBot="1">
      <c r="A10" s="367" t="s">
        <v>117</v>
      </c>
      <c r="B10" s="368">
        <f aca="true" t="shared" si="0" ref="B10:G10">+B6</f>
        <v>2017</v>
      </c>
      <c r="C10" s="368">
        <f t="shared" si="0"/>
        <v>2018</v>
      </c>
      <c r="D10" s="368">
        <f t="shared" si="0"/>
        <v>2019</v>
      </c>
      <c r="E10" s="368">
        <f t="shared" si="0"/>
        <v>2020</v>
      </c>
      <c r="F10" s="368">
        <f t="shared" si="0"/>
        <v>2021</v>
      </c>
      <c r="G10" s="369">
        <f t="shared" si="0"/>
        <v>2022</v>
      </c>
    </row>
    <row r="11" spans="1:7" ht="9.75">
      <c r="A11" s="382" t="s">
        <v>121</v>
      </c>
      <c r="B11" s="200">
        <f>'DR'!B31/Balanço!C23</f>
        <v>1.0201435378580488</v>
      </c>
      <c r="C11" s="200">
        <f>'DR'!C31/Balanço!D23</f>
        <v>1.5188182889863948</v>
      </c>
      <c r="D11" s="200">
        <f>'DR'!D31/Balanço!E23</f>
        <v>2.860901439518903</v>
      </c>
      <c r="E11" s="200">
        <f>'DR'!E31/Balanço!F23</f>
        <v>18.83495641251118</v>
      </c>
      <c r="F11" s="200">
        <f>'DR'!F31/Balanço!G23</f>
        <v>-99.50783142912378</v>
      </c>
      <c r="G11" s="371">
        <f>'DR'!G31/Balanço!H23</f>
        <v>-15.581406665661365</v>
      </c>
    </row>
    <row r="12" spans="1:7" ht="9.75">
      <c r="A12" s="382" t="s">
        <v>122</v>
      </c>
      <c r="B12" s="200">
        <f>+'DR'!B26/Balanço!C23</f>
        <v>1.3601913838107316</v>
      </c>
      <c r="C12" s="200">
        <f>+'DR'!C26/Balanço!D23</f>
        <v>2.02509105198186</v>
      </c>
      <c r="D12" s="200">
        <f>+'DR'!D26/Balanço!E23</f>
        <v>3.814535252691871</v>
      </c>
      <c r="E12" s="200">
        <f>+'DR'!E26/Balanço!F23</f>
        <v>25.113275216681572</v>
      </c>
      <c r="F12" s="200">
        <f>+'DR'!F26/Balanço!G23</f>
        <v>-132.67710857216505</v>
      </c>
      <c r="G12" s="371">
        <f>+'DR'!G26/Balanço!H23</f>
        <v>-20.775208887548487</v>
      </c>
    </row>
    <row r="13" spans="1:7" ht="9.75">
      <c r="A13" s="382" t="s">
        <v>123</v>
      </c>
      <c r="B13" s="200">
        <f>'DR'!B8/Balanço!C23</f>
        <v>3.379089800535757</v>
      </c>
      <c r="C13" s="200">
        <f>'DR'!C8/Balanço!D23</f>
        <v>4.981931496338491</v>
      </c>
      <c r="D13" s="200">
        <f>'DR'!D8/Balanço!E23</f>
        <v>9.294632585652682</v>
      </c>
      <c r="E13" s="200">
        <f>'DR'!E8/Balanço!F23</f>
        <v>60.61956869448545</v>
      </c>
      <c r="F13" s="200">
        <f>'DR'!F8/Balanço!G23</f>
        <v>-272.4233544976813</v>
      </c>
      <c r="G13" s="371">
        <f>'DR'!G8/Balanço!H23</f>
        <v>-42.40201385845813</v>
      </c>
    </row>
    <row r="14" spans="1:7" ht="10.5" thickBot="1">
      <c r="A14" s="382" t="s">
        <v>124</v>
      </c>
      <c r="B14" s="372">
        <f>+'DR'!B31/Balanço!C33</f>
        <v>1</v>
      </c>
      <c r="C14" s="372">
        <f>+'DR'!C31/Balanço!D33</f>
        <v>0.5055767275237826</v>
      </c>
      <c r="D14" s="372">
        <f>+'DR'!D31/Balanço!E33</f>
        <v>0.3407571227586084</v>
      </c>
      <c r="E14" s="372">
        <f>+'DR'!E31/Balanço!F33</f>
        <v>0.2583387982580274</v>
      </c>
      <c r="F14" s="372">
        <f>+'DR'!F31/Balanço!G33</f>
        <v>0.23521143657912363</v>
      </c>
      <c r="G14" s="373">
        <f>+'DR'!G31/Balanço!H33</f>
        <v>0.19330733839267006</v>
      </c>
    </row>
    <row r="15" spans="1:7" ht="10.5" thickBot="1">
      <c r="A15" s="63"/>
      <c r="B15" s="63"/>
      <c r="C15" s="63"/>
      <c r="D15" s="63"/>
      <c r="E15" s="63"/>
      <c r="F15" s="63"/>
      <c r="G15" s="63"/>
    </row>
    <row r="16" spans="1:7" ht="10.5" thickBot="1">
      <c r="A16" s="367" t="s">
        <v>119</v>
      </c>
      <c r="B16" s="377">
        <f aca="true" t="shared" si="1" ref="B16:G16">+B6</f>
        <v>2017</v>
      </c>
      <c r="C16" s="377">
        <f t="shared" si="1"/>
        <v>2018</v>
      </c>
      <c r="D16" s="377">
        <f t="shared" si="1"/>
        <v>2019</v>
      </c>
      <c r="E16" s="377">
        <f t="shared" si="1"/>
        <v>2020</v>
      </c>
      <c r="F16" s="377">
        <f t="shared" si="1"/>
        <v>2021</v>
      </c>
      <c r="G16" s="378">
        <f t="shared" si="1"/>
        <v>2022</v>
      </c>
    </row>
    <row r="17" spans="1:7" ht="9.75">
      <c r="A17" s="382" t="s">
        <v>17</v>
      </c>
      <c r="B17" s="200">
        <f>Balanço!C33/Balanço!C23</f>
        <v>1.0201435378580488</v>
      </c>
      <c r="C17" s="200">
        <f>Balanço!D33/Balanço!D23</f>
        <v>3.004130147416544</v>
      </c>
      <c r="D17" s="200">
        <f>Balanço!E33/Balanço!E23</f>
        <v>8.395720143304413</v>
      </c>
      <c r="E17" s="200">
        <f>Balanço!F33/Balanço!F23</f>
        <v>72.90796635857586</v>
      </c>
      <c r="F17" s="200">
        <f>Balanço!G33/Balanço!G23</f>
        <v>-423.05694347328205</v>
      </c>
      <c r="G17" s="379">
        <f>Balanço!H33/Balanço!H23</f>
        <v>-80.60432053547011</v>
      </c>
    </row>
    <row r="18" spans="1:7" ht="9.75">
      <c r="A18" s="382" t="s">
        <v>14</v>
      </c>
      <c r="B18" s="200">
        <f>Balanço!C23/Balanço!C49</f>
        <v>2.0349139359271726</v>
      </c>
      <c r="C18" s="200">
        <f>Balanço!D23/Balanço!D49</f>
        <v>1.3721619816093824</v>
      </c>
      <c r="D18" s="200">
        <f>Balanço!E23/Balanço!E49</f>
        <v>0.7312555555214743</v>
      </c>
      <c r="E18" s="200">
        <f>Balanço!F23/Balanço!F49</f>
        <v>0.11148768010021361</v>
      </c>
      <c r="F18" s="200">
        <f>Balanço!G23/Balanço!G49</f>
        <v>-0.022110131654024416</v>
      </c>
      <c r="G18" s="379">
        <f>Balanço!H23/Balanço!H49</f>
        <v>-0.14153830569559703</v>
      </c>
    </row>
    <row r="19" spans="1:7" ht="10.5" thickBot="1">
      <c r="A19" s="382" t="s">
        <v>395</v>
      </c>
      <c r="B19" s="380" t="e">
        <f>+'DR'!B26/'DR'!B28</f>
        <v>#DIV/0!</v>
      </c>
      <c r="C19" s="380" t="e">
        <f>+'DR'!C26/'DR'!C28</f>
        <v>#DIV/0!</v>
      </c>
      <c r="D19" s="380" t="e">
        <f>+'DR'!D26/'DR'!D28</f>
        <v>#DIV/0!</v>
      </c>
      <c r="E19" s="380" t="e">
        <f>+'DR'!E26/'DR'!E28</f>
        <v>#DIV/0!</v>
      </c>
      <c r="F19" s="380" t="e">
        <f>+'DR'!F26/'DR'!F28</f>
        <v>#DIV/0!</v>
      </c>
      <c r="G19" s="381" t="e">
        <f>+'DR'!G26/'DR'!G28</f>
        <v>#DIV/0!</v>
      </c>
    </row>
    <row r="20" spans="1:7" ht="10.5" thickBot="1">
      <c r="A20" s="63"/>
      <c r="B20" s="63"/>
      <c r="C20" s="63"/>
      <c r="D20" s="63"/>
      <c r="E20" s="63"/>
      <c r="F20" s="63"/>
      <c r="G20" s="63"/>
    </row>
    <row r="21" spans="1:7" ht="10.5" thickBot="1">
      <c r="A21" s="367" t="s">
        <v>120</v>
      </c>
      <c r="B21" s="368">
        <f aca="true" t="shared" si="2" ref="B21:G21">+B6</f>
        <v>2017</v>
      </c>
      <c r="C21" s="368">
        <f t="shared" si="2"/>
        <v>2018</v>
      </c>
      <c r="D21" s="368">
        <f t="shared" si="2"/>
        <v>2019</v>
      </c>
      <c r="E21" s="368">
        <f t="shared" si="2"/>
        <v>2020</v>
      </c>
      <c r="F21" s="368">
        <f t="shared" si="2"/>
        <v>2021</v>
      </c>
      <c r="G21" s="369">
        <f t="shared" si="2"/>
        <v>2022</v>
      </c>
    </row>
    <row r="22" spans="1:7" ht="9.75">
      <c r="A22" s="382" t="s">
        <v>394</v>
      </c>
      <c r="B22" s="366">
        <f>Balanço!C15/Balanço!C42</f>
        <v>0.54009721291422</v>
      </c>
      <c r="C22" s="366">
        <f>Balanço!D15/Balanço!D42</f>
        <v>0.39377111367492995</v>
      </c>
      <c r="D22" s="366">
        <f>Balanço!E15/Balanço!E42</f>
        <v>0.2509353599384721</v>
      </c>
      <c r="E22" s="366">
        <f>Balanço!F15/Balanço!F42</f>
        <v>0.11148768010021361</v>
      </c>
      <c r="F22" s="366">
        <f>Balanço!G15/Balanço!G42</f>
        <v>-0.022110131654024416</v>
      </c>
      <c r="G22" s="374">
        <f>Balanço!H15/Balanço!H42</f>
        <v>-0.14153830569559703</v>
      </c>
    </row>
    <row r="23" spans="1:7" ht="10.5" thickBot="1">
      <c r="A23" s="382" t="s">
        <v>15</v>
      </c>
      <c r="B23" s="375">
        <f>(Balanço!C17+Balanço!C18+Balanço!C19+Balanço!C20+Balanço!C21+Balanço!C22)/Balanço!C42</f>
        <v>0.46161933495603996</v>
      </c>
      <c r="C23" s="375">
        <f>(Balanço!D17+Balanço!D18+Balanço!D19+Balanço!D20+Balanço!D21+Balanço!D22)/Balanço!D42</f>
        <v>0.31580559138640324</v>
      </c>
      <c r="D23" s="375">
        <f>(Balanço!E17+Balanço!E18+Balanço!E19+Balanço!E20+Balanço!E21+Balanço!E22)/Balanço!E42</f>
        <v>0.17347184047587227</v>
      </c>
      <c r="E23" s="375">
        <f>(Balanço!F17+Balanço!F18+Balanço!F19+Balanço!F20+Balanço!F21+Balanço!F22)/Balanço!F42</f>
        <v>0.03451612246843651</v>
      </c>
      <c r="F23" s="375">
        <f>(Balanço!G17+Balanço!G18+Balanço!G19+Balanço!G20+Balanço!G21+Balanço!G22)/Balanço!G42</f>
        <v>-0.09066200566313934</v>
      </c>
      <c r="G23" s="376">
        <f>(Balanço!H17+Balanço!H18+Balanço!H19+Balanço!H20+Balanço!H21+Balanço!H22)/Balanço!H42</f>
        <v>-0.20979348841196577</v>
      </c>
    </row>
    <row r="24" spans="1:7" ht="10.5" thickBot="1">
      <c r="A24" s="63"/>
      <c r="B24" s="63"/>
      <c r="C24" s="63"/>
      <c r="D24" s="63"/>
      <c r="E24" s="63"/>
      <c r="F24" s="63"/>
      <c r="G24" s="63"/>
    </row>
    <row r="25" spans="1:7" ht="10.5" thickBot="1">
      <c r="A25" s="367" t="s">
        <v>125</v>
      </c>
      <c r="B25" s="368">
        <f aca="true" t="shared" si="3" ref="B25:G25">+B6</f>
        <v>2017</v>
      </c>
      <c r="C25" s="368">
        <f t="shared" si="3"/>
        <v>2018</v>
      </c>
      <c r="D25" s="368">
        <f t="shared" si="3"/>
        <v>2019</v>
      </c>
      <c r="E25" s="368">
        <f t="shared" si="3"/>
        <v>2020</v>
      </c>
      <c r="F25" s="368">
        <f t="shared" si="3"/>
        <v>2021</v>
      </c>
      <c r="G25" s="369">
        <f t="shared" si="3"/>
        <v>2022</v>
      </c>
    </row>
    <row r="26" spans="1:7" ht="9.75">
      <c r="A26" s="382" t="s">
        <v>66</v>
      </c>
      <c r="B26" s="241">
        <f>'DR'!B8-'DR'!B11-'DR'!B13-'DR'!B14</f>
        <v>171600</v>
      </c>
      <c r="C26" s="241">
        <f>'DR'!C8-'DR'!C11-'DR'!C13-'DR'!C14</f>
        <v>174180</v>
      </c>
      <c r="D26" s="241">
        <f>'DR'!D8-'DR'!D11-'DR'!D13-'DR'!D14</f>
        <v>176797.32</v>
      </c>
      <c r="E26" s="241">
        <f>'DR'!E8-'DR'!E11-'DR'!E13-'DR'!E14</f>
        <v>179452.5636</v>
      </c>
      <c r="F26" s="241">
        <f>'DR'!F8-'DR'!F11-'DR'!F13-'DR'!F14</f>
        <v>182146.34504400005</v>
      </c>
      <c r="G26" s="370">
        <f>'DR'!G8-'DR'!G11-'DR'!G13-'DR'!G14</f>
        <v>184879.28941860003</v>
      </c>
    </row>
    <row r="27" spans="1:7" ht="9.75">
      <c r="A27" s="382" t="s">
        <v>209</v>
      </c>
      <c r="B27" s="200">
        <f>+B26/'DR'!B26</f>
        <v>1.544571138482144</v>
      </c>
      <c r="C27" s="200">
        <f>+C26/'DR'!C26</f>
        <v>1.533206841274907</v>
      </c>
      <c r="D27" s="200">
        <f>+D26/'DR'!D26</f>
        <v>1.5221789707605664</v>
      </c>
      <c r="E27" s="200">
        <f>+E26/'DR'!E26</f>
        <v>1.5114736323392495</v>
      </c>
      <c r="F27" s="200">
        <f>+F26/'DR'!F26</f>
        <v>1.2886766367733804</v>
      </c>
      <c r="G27" s="371">
        <f>+G26/'DR'!G26</f>
        <v>1.2838963277047224</v>
      </c>
    </row>
    <row r="28" spans="1:7" ht="10.5" thickBot="1">
      <c r="A28" s="382" t="s">
        <v>396</v>
      </c>
      <c r="B28" s="372">
        <f>+'DR'!B26/'DR'!B29</f>
        <v>1</v>
      </c>
      <c r="C28" s="372">
        <f>+'DR'!C26/'DR'!C29</f>
        <v>1</v>
      </c>
      <c r="D28" s="372">
        <f>+'DR'!D26/'DR'!D29</f>
        <v>1</v>
      </c>
      <c r="E28" s="372">
        <f>+'DR'!E26/'DR'!E29</f>
        <v>1</v>
      </c>
      <c r="F28" s="372">
        <f>+'DR'!F26/'DR'!F29</f>
        <v>1</v>
      </c>
      <c r="G28" s="373">
        <f>+'DR'!G26/'DR'!G29</f>
        <v>1</v>
      </c>
    </row>
  </sheetData>
  <sheetProtection password="8318" sheet="1" objects="1" scenarios="1"/>
  <mergeCells count="1">
    <mergeCell ref="A4:G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/>
  <headerFooter alignWithMargins="0">
    <oddFooter>&amp;C&amp;"Arial,Normal"&amp;8IAPMEI&amp;R&amp;"Arial,Normal"&amp;8&amp;P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O82"/>
  <sheetViews>
    <sheetView showGridLines="0" workbookViewId="0" topLeftCell="A55">
      <selection activeCell="E85" sqref="E85"/>
    </sheetView>
  </sheetViews>
  <sheetFormatPr defaultColWidth="8.7109375" defaultRowHeight="12.75"/>
  <cols>
    <col min="1" max="1" width="34.421875" style="73" customWidth="1"/>
    <col min="2" max="2" width="12.00390625" style="73" customWidth="1"/>
    <col min="3" max="9" width="11.421875" style="73" customWidth="1"/>
    <col min="10" max="10" width="8.7109375" style="73" customWidth="1"/>
    <col min="11" max="11" width="11.8515625" style="73" customWidth="1"/>
    <col min="12" max="13" width="8.7109375" style="73" customWidth="1"/>
    <col min="14" max="14" width="14.8515625" style="73" customWidth="1"/>
    <col min="15" max="15" width="13.140625" style="73" customWidth="1"/>
    <col min="16" max="16384" width="8.7109375" style="73" customWidth="1"/>
  </cols>
  <sheetData>
    <row r="1" spans="1:10" ht="12.75">
      <c r="A1" s="63"/>
      <c r="B1" s="63"/>
      <c r="C1" s="57"/>
      <c r="D1" s="57"/>
      <c r="E1" s="57"/>
      <c r="F1" s="57"/>
      <c r="G1" s="57"/>
      <c r="H1" s="54" t="str">
        <f>+VN!G1</f>
        <v>Empresa:</v>
      </c>
      <c r="I1" s="55" t="str">
        <f>+Pressupostos!E1</f>
        <v>XPTO, Lda</v>
      </c>
      <c r="J1" s="259"/>
    </row>
    <row r="2" spans="1:9" ht="12.75">
      <c r="A2" s="63"/>
      <c r="B2" s="63"/>
      <c r="C2" s="63"/>
      <c r="D2" s="63"/>
      <c r="E2" s="63"/>
      <c r="F2" s="63"/>
      <c r="G2" s="63"/>
      <c r="H2" s="63"/>
      <c r="I2" s="63"/>
    </row>
    <row r="3" spans="1:9" ht="12.75">
      <c r="A3" s="63"/>
      <c r="B3" s="63"/>
      <c r="C3" s="63"/>
      <c r="D3" s="63"/>
      <c r="E3" s="63"/>
      <c r="F3" s="63"/>
      <c r="G3" s="63"/>
      <c r="H3" s="63"/>
      <c r="I3" s="63"/>
    </row>
    <row r="4" spans="1:9" ht="12.75">
      <c r="A4" s="564" t="s">
        <v>171</v>
      </c>
      <c r="B4" s="564"/>
      <c r="C4" s="564"/>
      <c r="D4" s="564"/>
      <c r="E4" s="564"/>
      <c r="F4" s="564"/>
      <c r="G4" s="564"/>
      <c r="H4" s="564"/>
      <c r="I4" s="564"/>
    </row>
    <row r="5" spans="1:9" ht="9.75">
      <c r="A5" s="63"/>
      <c r="B5" s="63"/>
      <c r="C5" s="63"/>
      <c r="D5" s="63"/>
      <c r="E5" s="63"/>
      <c r="F5" s="63"/>
      <c r="G5" s="63"/>
      <c r="H5" s="63"/>
      <c r="I5" s="63"/>
    </row>
    <row r="6" spans="1:9" ht="9.75">
      <c r="A6" s="63"/>
      <c r="B6" s="63"/>
      <c r="C6" s="63"/>
      <c r="D6" s="63"/>
      <c r="E6" s="63"/>
      <c r="F6" s="63"/>
      <c r="G6" s="63"/>
      <c r="H6" s="63"/>
      <c r="I6" s="63"/>
    </row>
    <row r="7" spans="1:14" ht="12">
      <c r="A7" s="570" t="s">
        <v>428</v>
      </c>
      <c r="B7" s="571"/>
      <c r="C7" s="60">
        <f aca="true" t="shared" si="0" ref="C7:I7">+C27</f>
        <v>2017</v>
      </c>
      <c r="D7" s="60">
        <f t="shared" si="0"/>
        <v>2018</v>
      </c>
      <c r="E7" s="60">
        <f t="shared" si="0"/>
        <v>2019</v>
      </c>
      <c r="F7" s="60">
        <f t="shared" si="0"/>
        <v>2020</v>
      </c>
      <c r="G7" s="60">
        <f t="shared" si="0"/>
        <v>2021</v>
      </c>
      <c r="H7" s="60">
        <f t="shared" si="0"/>
        <v>2022</v>
      </c>
      <c r="I7" s="60">
        <f t="shared" si="0"/>
        <v>2023</v>
      </c>
      <c r="K7" s="408"/>
      <c r="L7" s="408" t="s">
        <v>2</v>
      </c>
      <c r="M7" s="408" t="s">
        <v>3</v>
      </c>
      <c r="N7" s="408"/>
    </row>
    <row r="8" spans="1:14" ht="12.75" customHeight="1">
      <c r="A8" s="152"/>
      <c r="B8" s="152"/>
      <c r="C8" s="260"/>
      <c r="D8" s="260"/>
      <c r="E8" s="260"/>
      <c r="F8" s="260"/>
      <c r="G8" s="260"/>
      <c r="H8" s="260"/>
      <c r="I8" s="260"/>
      <c r="J8" s="572" t="s">
        <v>457</v>
      </c>
      <c r="K8" s="408" t="s">
        <v>22</v>
      </c>
      <c r="L8" s="409">
        <f>+C14</f>
        <v>8158.099999999991</v>
      </c>
      <c r="M8" s="409">
        <f>+L8</f>
        <v>8158.099999999991</v>
      </c>
      <c r="N8" s="410">
        <f aca="true" t="shared" si="1" ref="N8:N13">IF(M8&gt;0,M8/L8*12)</f>
        <v>12</v>
      </c>
    </row>
    <row r="9" spans="1:14" ht="9.75">
      <c r="A9" s="74" t="s">
        <v>130</v>
      </c>
      <c r="B9" s="84"/>
      <c r="C9" s="261">
        <f aca="true" t="shared" si="2" ref="C9:H9">+C29</f>
        <v>8158.099999999991</v>
      </c>
      <c r="D9" s="261">
        <f t="shared" si="2"/>
        <v>104977.06800000001</v>
      </c>
      <c r="E9" s="261">
        <f t="shared" si="2"/>
        <v>106880.71192</v>
      </c>
      <c r="F9" s="261">
        <f t="shared" si="2"/>
        <v>108811.952244</v>
      </c>
      <c r="G9" s="261">
        <f t="shared" si="2"/>
        <v>105771.23613533603</v>
      </c>
      <c r="H9" s="261">
        <f t="shared" si="2"/>
        <v>107759.01865296332</v>
      </c>
      <c r="I9" s="415">
        <f>+N20</f>
        <v>12014.777977069989</v>
      </c>
      <c r="J9" s="572"/>
      <c r="K9" s="408" t="s">
        <v>23</v>
      </c>
      <c r="L9" s="409">
        <f>+D14</f>
        <v>99740.68218527317</v>
      </c>
      <c r="M9" s="409">
        <f>+M8+L9</f>
        <v>107898.78218527316</v>
      </c>
      <c r="N9" s="411">
        <f t="shared" si="1"/>
        <v>12.981517249081485</v>
      </c>
    </row>
    <row r="10" spans="1:14" ht="9.75">
      <c r="A10" s="262"/>
      <c r="B10" s="66"/>
      <c r="C10" s="263"/>
      <c r="D10" s="263"/>
      <c r="E10" s="263"/>
      <c r="F10" s="263"/>
      <c r="G10" s="263"/>
      <c r="H10" s="263"/>
      <c r="I10" s="263"/>
      <c r="J10" s="572"/>
      <c r="K10" s="408" t="s">
        <v>24</v>
      </c>
      <c r="L10" s="409">
        <f>+E14</f>
        <v>96483.96199073578</v>
      </c>
      <c r="M10" s="409">
        <f>+M9+L10</f>
        <v>204382.74417600894</v>
      </c>
      <c r="N10" s="411">
        <f t="shared" si="1"/>
        <v>25.419695455163843</v>
      </c>
    </row>
    <row r="11" spans="1:14" ht="9.75">
      <c r="A11" s="141" t="s">
        <v>423</v>
      </c>
      <c r="B11" s="264"/>
      <c r="C11" s="265">
        <f aca="true" t="shared" si="3" ref="C11:I11">+C53</f>
        <v>0.052500000000000005</v>
      </c>
      <c r="D11" s="265">
        <f t="shared" si="3"/>
        <v>0.052500000000000005</v>
      </c>
      <c r="E11" s="265">
        <f t="shared" si="3"/>
        <v>0.052500000000000005</v>
      </c>
      <c r="F11" s="265">
        <f t="shared" si="3"/>
        <v>0.052500000000000005</v>
      </c>
      <c r="G11" s="265">
        <f t="shared" si="3"/>
        <v>0.052500000000000005</v>
      </c>
      <c r="H11" s="265">
        <f t="shared" si="3"/>
        <v>0.052500000000000005</v>
      </c>
      <c r="I11" s="265">
        <f t="shared" si="3"/>
        <v>0.052500000000000005</v>
      </c>
      <c r="K11" s="408" t="s">
        <v>25</v>
      </c>
      <c r="L11" s="409">
        <f>+F14</f>
        <v>93327.64104604088</v>
      </c>
      <c r="M11" s="409">
        <f>+M10+L11</f>
        <v>297710.38522204984</v>
      </c>
      <c r="N11" s="412">
        <f t="shared" si="1"/>
        <v>38.27938414196263</v>
      </c>
    </row>
    <row r="12" spans="1:14" ht="9.75">
      <c r="A12" s="203" t="s">
        <v>133</v>
      </c>
      <c r="B12" s="266"/>
      <c r="C12" s="420">
        <v>1</v>
      </c>
      <c r="D12" s="268">
        <f>+C12*(1+D11)</f>
        <v>1.0525</v>
      </c>
      <c r="E12" s="268">
        <f>+D12*(1+E11)</f>
        <v>1.10775625</v>
      </c>
      <c r="F12" s="268">
        <f>+E12*(1+F11)</f>
        <v>1.165913453125</v>
      </c>
      <c r="G12" s="268">
        <f>+F12*(1+G11)</f>
        <v>1.2271239094140625</v>
      </c>
      <c r="H12" s="268">
        <f>+G12*(1+H11)</f>
        <v>1.2915479146583007</v>
      </c>
      <c r="I12" s="423" t="s">
        <v>431</v>
      </c>
      <c r="K12" s="408" t="s">
        <v>26</v>
      </c>
      <c r="L12" s="409">
        <f>+G14</f>
        <v>86194.42203342007</v>
      </c>
      <c r="M12" s="409">
        <f>+M11+L12</f>
        <v>383904.8072554699</v>
      </c>
      <c r="N12" s="412">
        <f t="shared" si="1"/>
        <v>53.44728322767136</v>
      </c>
    </row>
    <row r="13" spans="11:14" ht="9.75">
      <c r="K13" s="408" t="s">
        <v>27</v>
      </c>
      <c r="L13" s="409">
        <f>+H14</f>
        <v>83434.0076972465</v>
      </c>
      <c r="M13" s="409">
        <f>+M12+L13</f>
        <v>467338.8149527164</v>
      </c>
      <c r="N13" s="412">
        <f t="shared" si="1"/>
        <v>67.21558671593903</v>
      </c>
    </row>
    <row r="14" spans="1:9" ht="9.75">
      <c r="A14" s="74" t="s">
        <v>132</v>
      </c>
      <c r="B14" s="84"/>
      <c r="C14" s="261">
        <f aca="true" t="shared" si="4" ref="C14:H14">+C9/C12</f>
        <v>8158.099999999991</v>
      </c>
      <c r="D14" s="261">
        <f t="shared" si="4"/>
        <v>99740.68218527317</v>
      </c>
      <c r="E14" s="261">
        <f>+E9/E12</f>
        <v>96483.96199073578</v>
      </c>
      <c r="F14" s="261">
        <f t="shared" si="4"/>
        <v>93327.64104604088</v>
      </c>
      <c r="G14" s="261">
        <f t="shared" si="4"/>
        <v>86194.42203342007</v>
      </c>
      <c r="H14" s="261">
        <f t="shared" si="4"/>
        <v>83434.0076972465</v>
      </c>
      <c r="I14" s="261">
        <f>+I9/H12</f>
        <v>9302.618850380544</v>
      </c>
    </row>
    <row r="15" spans="1:9" ht="9.75">
      <c r="A15" s="63"/>
      <c r="B15" s="152"/>
      <c r="C15" s="270"/>
      <c r="D15" s="63"/>
      <c r="E15" s="63"/>
      <c r="F15" s="63"/>
      <c r="G15" s="260"/>
      <c r="H15" s="260"/>
      <c r="I15" s="260"/>
    </row>
    <row r="16" spans="1:9" ht="9.75">
      <c r="A16" s="74" t="s">
        <v>424</v>
      </c>
      <c r="B16" s="84"/>
      <c r="C16" s="261">
        <f>+C14</f>
        <v>8158.099999999991</v>
      </c>
      <c r="D16" s="261">
        <f aca="true" t="shared" si="5" ref="D16:I16">+C16+D14</f>
        <v>107898.78218527316</v>
      </c>
      <c r="E16" s="261">
        <f t="shared" si="5"/>
        <v>204382.74417600894</v>
      </c>
      <c r="F16" s="261">
        <f t="shared" si="5"/>
        <v>297710.38522204984</v>
      </c>
      <c r="G16" s="261">
        <f t="shared" si="5"/>
        <v>383904.8072554699</v>
      </c>
      <c r="H16" s="261">
        <f t="shared" si="5"/>
        <v>467338.8149527164</v>
      </c>
      <c r="I16" s="261">
        <f t="shared" si="5"/>
        <v>476641.43380309694</v>
      </c>
    </row>
    <row r="17" spans="1:14" ht="9.75">
      <c r="A17" s="63"/>
      <c r="B17" s="152"/>
      <c r="C17" s="270"/>
      <c r="D17" s="63"/>
      <c r="E17" s="63"/>
      <c r="F17" s="63"/>
      <c r="G17" s="260"/>
      <c r="H17" s="260"/>
      <c r="I17" s="260"/>
      <c r="K17" s="464" t="s">
        <v>415</v>
      </c>
      <c r="L17" s="464"/>
      <c r="M17" s="81"/>
      <c r="N17" s="81"/>
    </row>
    <row r="18" spans="1:14" ht="10.5">
      <c r="A18" s="294" t="s">
        <v>210</v>
      </c>
      <c r="B18" s="295"/>
      <c r="C18" s="426">
        <f>+I16</f>
        <v>476641.43380309694</v>
      </c>
      <c r="D18" s="297"/>
      <c r="E18" s="298"/>
      <c r="F18" s="299"/>
      <c r="G18" s="300"/>
      <c r="H18" s="297"/>
      <c r="I18" s="297"/>
      <c r="K18" s="466" t="s">
        <v>417</v>
      </c>
      <c r="L18" s="466"/>
      <c r="M18" s="466"/>
      <c r="N18" s="465">
        <f>($H$9*(1+Pressupostos!$B$38))/(Avaliação!$I$11-Pressupostos!$B$38)</f>
        <v>2056675.4686035996</v>
      </c>
    </row>
    <row r="19" spans="1:14" ht="9.75">
      <c r="A19" s="63"/>
      <c r="B19" s="274"/>
      <c r="C19" s="260"/>
      <c r="D19" s="260"/>
      <c r="E19" s="260"/>
      <c r="F19" s="260"/>
      <c r="G19" s="260"/>
      <c r="H19" s="260"/>
      <c r="I19" s="260"/>
      <c r="K19" s="413" t="s">
        <v>416</v>
      </c>
      <c r="L19" s="302"/>
      <c r="M19" s="302"/>
      <c r="N19" s="430"/>
    </row>
    <row r="20" spans="1:14" ht="12.75" customHeight="1">
      <c r="A20" s="74" t="s">
        <v>0</v>
      </c>
      <c r="B20" s="84"/>
      <c r="C20" s="427" t="e">
        <f>IRR(C9:I9,0.1)</f>
        <v>#NUM!</v>
      </c>
      <c r="D20" s="276"/>
      <c r="E20" s="276"/>
      <c r="F20" s="276"/>
      <c r="G20" s="276"/>
      <c r="H20" s="260"/>
      <c r="I20" s="260"/>
      <c r="K20" s="567" t="s">
        <v>429</v>
      </c>
      <c r="L20" s="567"/>
      <c r="M20" s="567"/>
      <c r="N20" s="568">
        <f>(+Balanço!$H$9+FundoManeio!$H$22)/(H12*(1+I11))</f>
        <v>12014.777977069989</v>
      </c>
    </row>
    <row r="21" spans="1:14" ht="9.75">
      <c r="A21" s="63"/>
      <c r="B21" s="63"/>
      <c r="C21" s="425"/>
      <c r="D21" s="63"/>
      <c r="E21" s="63"/>
      <c r="F21" s="63"/>
      <c r="G21" s="63"/>
      <c r="H21" s="63"/>
      <c r="I21" s="63"/>
      <c r="K21" s="567"/>
      <c r="L21" s="567"/>
      <c r="M21" s="567"/>
      <c r="N21" s="569"/>
    </row>
    <row r="22" spans="1:9" ht="9.75">
      <c r="A22" s="74" t="s">
        <v>444</v>
      </c>
      <c r="B22" s="84"/>
      <c r="C22" s="428">
        <f>COUNTIF(N8:N13,"falso")</f>
        <v>0</v>
      </c>
      <c r="D22" s="277" t="s">
        <v>7</v>
      </c>
      <c r="E22" s="293"/>
      <c r="F22" s="63"/>
      <c r="G22" s="63"/>
      <c r="H22" s="63"/>
      <c r="I22" s="63"/>
    </row>
    <row r="23" spans="1:9" ht="9.75">
      <c r="A23" s="262"/>
      <c r="B23" s="66"/>
      <c r="C23" s="263"/>
      <c r="D23" s="263"/>
      <c r="E23" s="263"/>
      <c r="F23" s="263"/>
      <c r="G23" s="263"/>
      <c r="H23" s="263"/>
      <c r="I23" s="263"/>
    </row>
    <row r="24" spans="1:9" ht="9.75">
      <c r="A24" s="429"/>
      <c r="B24" s="429"/>
      <c r="C24" s="429"/>
      <c r="D24" s="429"/>
      <c r="E24" s="429"/>
      <c r="F24" s="429"/>
      <c r="G24" s="429"/>
      <c r="H24" s="429"/>
      <c r="I24" s="429"/>
    </row>
    <row r="25" spans="1:9" ht="9.75">
      <c r="A25" s="429"/>
      <c r="B25" s="429"/>
      <c r="C25" s="429"/>
      <c r="D25" s="429"/>
      <c r="E25" s="429"/>
      <c r="F25" s="429"/>
      <c r="G25" s="429"/>
      <c r="H25" s="429"/>
      <c r="I25" s="429"/>
    </row>
    <row r="26" spans="1:9" ht="9.75">
      <c r="A26" s="262"/>
      <c r="B26" s="66"/>
      <c r="C26" s="263"/>
      <c r="D26" s="263"/>
      <c r="E26" s="263"/>
      <c r="F26" s="263"/>
      <c r="G26" s="263"/>
      <c r="H26" s="263"/>
      <c r="I26" s="263"/>
    </row>
    <row r="27" spans="1:15" ht="12">
      <c r="A27" s="570" t="s">
        <v>420</v>
      </c>
      <c r="B27" s="571"/>
      <c r="C27" s="60">
        <f>+VN!C8</f>
        <v>2017</v>
      </c>
      <c r="D27" s="60">
        <f>+VN!D8</f>
        <v>2018</v>
      </c>
      <c r="E27" s="60">
        <f>+VN!E8</f>
        <v>2019</v>
      </c>
      <c r="F27" s="60">
        <f>+VN!F8</f>
        <v>2020</v>
      </c>
      <c r="G27" s="60">
        <f>+VN!G8</f>
        <v>2021</v>
      </c>
      <c r="H27" s="60">
        <f>+VN!H8</f>
        <v>2022</v>
      </c>
      <c r="I27" s="60">
        <f>+H27+1</f>
        <v>2023</v>
      </c>
      <c r="K27" s="408"/>
      <c r="L27" s="408" t="s">
        <v>2</v>
      </c>
      <c r="M27" s="408" t="s">
        <v>3</v>
      </c>
      <c r="N27" s="408"/>
      <c r="O27" s="81"/>
    </row>
    <row r="28" spans="1:15" ht="9.75">
      <c r="A28" s="152"/>
      <c r="B28" s="152"/>
      <c r="C28" s="260"/>
      <c r="D28" s="260"/>
      <c r="E28" s="260"/>
      <c r="F28" s="260"/>
      <c r="G28" s="260"/>
      <c r="H28" s="260"/>
      <c r="I28" s="260"/>
      <c r="J28" s="572" t="s">
        <v>457</v>
      </c>
      <c r="K28" s="408" t="s">
        <v>22</v>
      </c>
      <c r="L28" s="409">
        <f>+C34</f>
        <v>8158.099999999991</v>
      </c>
      <c r="M28" s="409">
        <f>+L28</f>
        <v>8158.099999999991</v>
      </c>
      <c r="N28" s="410">
        <f aca="true" t="shared" si="6" ref="N28:N33">IF(M28&gt;0,M28/L28*12)</f>
        <v>12</v>
      </c>
      <c r="O28" s="81"/>
    </row>
    <row r="29" spans="1:15" ht="9.75">
      <c r="A29" s="74" t="s">
        <v>130</v>
      </c>
      <c r="B29" s="84"/>
      <c r="C29" s="261">
        <f>+'Cash Flow'!C21</f>
        <v>8158.099999999991</v>
      </c>
      <c r="D29" s="261">
        <f>+'Cash Flow'!D21</f>
        <v>104977.06800000001</v>
      </c>
      <c r="E29" s="261">
        <f>+'Cash Flow'!E21</f>
        <v>106880.71192</v>
      </c>
      <c r="F29" s="261">
        <f>+'Cash Flow'!F21</f>
        <v>108811.952244</v>
      </c>
      <c r="G29" s="261">
        <f>+'Cash Flow'!G21</f>
        <v>105771.23613533603</v>
      </c>
      <c r="H29" s="261">
        <f>+'Cash Flow'!H21</f>
        <v>107759.01865296332</v>
      </c>
      <c r="I29" s="415">
        <f>+N39</f>
        <v>12014.777977069989</v>
      </c>
      <c r="J29" s="572"/>
      <c r="K29" s="408" t="s">
        <v>23</v>
      </c>
      <c r="L29" s="409">
        <f>+D34</f>
        <v>99740.68218527317</v>
      </c>
      <c r="M29" s="409">
        <f>+M28+L29</f>
        <v>107898.78218527316</v>
      </c>
      <c r="N29" s="411">
        <f t="shared" si="6"/>
        <v>12.981517249081485</v>
      </c>
      <c r="O29" s="81"/>
    </row>
    <row r="30" spans="1:15" ht="9.75">
      <c r="A30" s="262"/>
      <c r="B30" s="66"/>
      <c r="C30" s="263"/>
      <c r="D30" s="263"/>
      <c r="E30" s="263"/>
      <c r="F30" s="263"/>
      <c r="G30" s="263"/>
      <c r="H30" s="263"/>
      <c r="I30" s="263"/>
      <c r="J30" s="572"/>
      <c r="K30" s="408" t="s">
        <v>24</v>
      </c>
      <c r="L30" s="409">
        <f>+E34</f>
        <v>96483.96199073578</v>
      </c>
      <c r="M30" s="409">
        <f>+M29+L30</f>
        <v>204382.74417600894</v>
      </c>
      <c r="N30" s="411">
        <f t="shared" si="6"/>
        <v>25.419695455163843</v>
      </c>
      <c r="O30" s="81"/>
    </row>
    <row r="31" spans="1:15" ht="9.75">
      <c r="A31" s="141" t="s">
        <v>131</v>
      </c>
      <c r="B31" s="264"/>
      <c r="C31" s="265">
        <f aca="true" t="shared" si="7" ref="C31:H31">+B80</f>
        <v>0.052500000000000005</v>
      </c>
      <c r="D31" s="265">
        <f t="shared" si="7"/>
        <v>0.052500000000000005</v>
      </c>
      <c r="E31" s="265">
        <f t="shared" si="7"/>
        <v>0.052500000000000005</v>
      </c>
      <c r="F31" s="265">
        <f t="shared" si="7"/>
        <v>0.052500000000000005</v>
      </c>
      <c r="G31" s="265">
        <f t="shared" si="7"/>
        <v>0.052500000000000005</v>
      </c>
      <c r="H31" s="265">
        <f t="shared" si="7"/>
        <v>0.052500000000000005</v>
      </c>
      <c r="I31" s="265">
        <f>+H31</f>
        <v>0.052500000000000005</v>
      </c>
      <c r="K31" s="408" t="s">
        <v>25</v>
      </c>
      <c r="L31" s="409">
        <f>+F34</f>
        <v>93327.64104604088</v>
      </c>
      <c r="M31" s="409">
        <f>+M30+L31</f>
        <v>297710.38522204984</v>
      </c>
      <c r="N31" s="412">
        <f t="shared" si="6"/>
        <v>38.27938414196263</v>
      </c>
      <c r="O31" s="81"/>
    </row>
    <row r="32" spans="1:15" ht="9.75">
      <c r="A32" s="203" t="s">
        <v>133</v>
      </c>
      <c r="B32" s="266"/>
      <c r="C32" s="267">
        <v>1</v>
      </c>
      <c r="D32" s="268">
        <f>+C32*(1+D31)</f>
        <v>1.0525</v>
      </c>
      <c r="E32" s="268">
        <f>+D32*(1+E31)</f>
        <v>1.10775625</v>
      </c>
      <c r="F32" s="268">
        <f>+E32*(1+F31)</f>
        <v>1.165913453125</v>
      </c>
      <c r="G32" s="268">
        <f>+F32*(1+G31)</f>
        <v>1.2271239094140625</v>
      </c>
      <c r="H32" s="268">
        <f>+G32*(1+H31)</f>
        <v>1.2915479146583007</v>
      </c>
      <c r="I32" s="423" t="s">
        <v>431</v>
      </c>
      <c r="K32" s="408" t="s">
        <v>26</v>
      </c>
      <c r="L32" s="409">
        <f>+G34</f>
        <v>86194.42203342007</v>
      </c>
      <c r="M32" s="409">
        <f>+M31+L32</f>
        <v>383904.8072554699</v>
      </c>
      <c r="N32" s="412">
        <f t="shared" si="6"/>
        <v>53.44728322767136</v>
      </c>
      <c r="O32" s="81"/>
    </row>
    <row r="33" spans="1:15" ht="9.75">
      <c r="A33" s="63"/>
      <c r="B33" s="269"/>
      <c r="C33" s="269"/>
      <c r="D33" s="269"/>
      <c r="E33" s="269"/>
      <c r="F33" s="269"/>
      <c r="G33" s="269"/>
      <c r="H33" s="269"/>
      <c r="I33" s="269"/>
      <c r="K33" s="408" t="s">
        <v>27</v>
      </c>
      <c r="L33" s="409">
        <f>+H34</f>
        <v>83434.0076972465</v>
      </c>
      <c r="M33" s="409">
        <f>+M32+L33</f>
        <v>467338.8149527164</v>
      </c>
      <c r="N33" s="412">
        <f t="shared" si="6"/>
        <v>67.21558671593903</v>
      </c>
      <c r="O33" s="81"/>
    </row>
    <row r="34" spans="1:15" ht="9.75">
      <c r="A34" s="74" t="s">
        <v>132</v>
      </c>
      <c r="B34" s="84"/>
      <c r="C34" s="261">
        <f aca="true" t="shared" si="8" ref="C34:H34">+C29/C32</f>
        <v>8158.099999999991</v>
      </c>
      <c r="D34" s="261">
        <f t="shared" si="8"/>
        <v>99740.68218527317</v>
      </c>
      <c r="E34" s="261">
        <f t="shared" si="8"/>
        <v>96483.96199073578</v>
      </c>
      <c r="F34" s="261">
        <f t="shared" si="8"/>
        <v>93327.64104604088</v>
      </c>
      <c r="G34" s="261">
        <f t="shared" si="8"/>
        <v>86194.42203342007</v>
      </c>
      <c r="H34" s="261">
        <f t="shared" si="8"/>
        <v>83434.0076972465</v>
      </c>
      <c r="I34" s="261">
        <f>+I29/H32</f>
        <v>9302.618850380544</v>
      </c>
      <c r="K34" s="81"/>
      <c r="L34" s="81"/>
      <c r="M34" s="81"/>
      <c r="N34" s="81"/>
      <c r="O34" s="81"/>
    </row>
    <row r="35" spans="1:15" ht="9.75">
      <c r="A35" s="63"/>
      <c r="B35" s="152"/>
      <c r="C35" s="270"/>
      <c r="D35" s="63"/>
      <c r="E35" s="63"/>
      <c r="F35" s="63"/>
      <c r="G35" s="260"/>
      <c r="H35" s="260"/>
      <c r="I35" s="260"/>
      <c r="K35" s="81"/>
      <c r="L35" s="81"/>
      <c r="M35" s="81"/>
      <c r="N35" s="81"/>
      <c r="O35" s="81"/>
    </row>
    <row r="36" spans="1:15" ht="9.75">
      <c r="A36" s="74" t="s">
        <v>424</v>
      </c>
      <c r="B36" s="84"/>
      <c r="C36" s="261">
        <f>+C34</f>
        <v>8158.099999999991</v>
      </c>
      <c r="D36" s="261">
        <f>+SUM($C$34:D34)</f>
        <v>107898.78218527316</v>
      </c>
      <c r="E36" s="261">
        <f>+SUM($C$34:E34)</f>
        <v>204382.74417600894</v>
      </c>
      <c r="F36" s="261">
        <f>+SUM($C$34:F34)</f>
        <v>297710.38522204984</v>
      </c>
      <c r="G36" s="261">
        <f>+SUM($C$34:G34)</f>
        <v>383904.8072554699</v>
      </c>
      <c r="H36" s="261">
        <f>+SUM($C$34:H34)</f>
        <v>467338.8149527164</v>
      </c>
      <c r="I36" s="261">
        <f>+SUM($C$34:I34)</f>
        <v>476641.43380309694</v>
      </c>
      <c r="K36" s="464" t="s">
        <v>415</v>
      </c>
      <c r="L36" s="464"/>
      <c r="M36" s="81"/>
      <c r="N36" s="81"/>
      <c r="O36" s="81"/>
    </row>
    <row r="37" spans="1:15" ht="10.5">
      <c r="A37" s="63"/>
      <c r="B37" s="152"/>
      <c r="C37" s="270"/>
      <c r="D37" s="63"/>
      <c r="E37" s="63"/>
      <c r="F37" s="63"/>
      <c r="G37" s="260"/>
      <c r="H37" s="260"/>
      <c r="I37" s="260"/>
      <c r="K37" s="466" t="s">
        <v>417</v>
      </c>
      <c r="L37" s="466"/>
      <c r="M37" s="466"/>
      <c r="N37" s="465">
        <f>($H$29*(1+Pressupostos!$B$38))/(Avaliação!$I$31-Pressupostos!$B$38)</f>
        <v>2056675.4686035996</v>
      </c>
      <c r="O37" s="81"/>
    </row>
    <row r="38" spans="1:15" s="301" customFormat="1" ht="9.75">
      <c r="A38" s="294" t="s">
        <v>210</v>
      </c>
      <c r="B38" s="295"/>
      <c r="C38" s="296">
        <f>+I36</f>
        <v>476641.43380309694</v>
      </c>
      <c r="D38" s="297"/>
      <c r="E38" s="298"/>
      <c r="F38" s="299"/>
      <c r="G38" s="300"/>
      <c r="H38" s="297"/>
      <c r="I38" s="297"/>
      <c r="K38" s="413" t="s">
        <v>416</v>
      </c>
      <c r="L38" s="302"/>
      <c r="M38" s="302"/>
      <c r="N38" s="430"/>
      <c r="O38" s="302"/>
    </row>
    <row r="39" spans="1:15" ht="12.75" customHeight="1">
      <c r="A39" s="63"/>
      <c r="B39" s="274"/>
      <c r="C39" s="260"/>
      <c r="D39" s="260"/>
      <c r="E39" s="260"/>
      <c r="F39" s="260"/>
      <c r="G39" s="260"/>
      <c r="H39" s="260"/>
      <c r="I39" s="260"/>
      <c r="K39" s="567" t="s">
        <v>430</v>
      </c>
      <c r="L39" s="567"/>
      <c r="M39" s="567"/>
      <c r="N39" s="568">
        <f>(+Balanço!$H$9+FundoManeio!$H$22)/(H32*(1+I31))</f>
        <v>12014.777977069989</v>
      </c>
      <c r="O39" s="81"/>
    </row>
    <row r="40" spans="1:14" ht="9.75">
      <c r="A40" s="74" t="s">
        <v>0</v>
      </c>
      <c r="B40" s="84"/>
      <c r="C40" s="275" t="e">
        <f>IRR(C29:I29,0.1)</f>
        <v>#NUM!</v>
      </c>
      <c r="D40" s="276"/>
      <c r="E40" s="276"/>
      <c r="F40" s="276"/>
      <c r="G40" s="276"/>
      <c r="H40" s="260"/>
      <c r="I40" s="260"/>
      <c r="K40" s="567"/>
      <c r="L40" s="567"/>
      <c r="M40" s="567"/>
      <c r="N40" s="569"/>
    </row>
    <row r="41" spans="1:9" ht="9.75">
      <c r="A41" s="63"/>
      <c r="B41" s="63"/>
      <c r="C41" s="63"/>
      <c r="D41" s="63"/>
      <c r="E41" s="63"/>
      <c r="F41" s="63"/>
      <c r="G41" s="63"/>
      <c r="H41" s="63"/>
      <c r="I41" s="63"/>
    </row>
    <row r="42" spans="1:9" ht="9.75">
      <c r="A42" s="74" t="s">
        <v>1</v>
      </c>
      <c r="B42" s="84"/>
      <c r="C42" s="261">
        <f>COUNTIF(N28:N33,"falso")</f>
        <v>0</v>
      </c>
      <c r="D42" s="277" t="s">
        <v>7</v>
      </c>
      <c r="E42" s="293"/>
      <c r="F42" s="63"/>
      <c r="G42" s="63"/>
      <c r="H42" s="63"/>
      <c r="I42" s="63"/>
    </row>
    <row r="43" spans="1:9" ht="9.75">
      <c r="A43" s="63"/>
      <c r="B43" s="63"/>
      <c r="C43" s="63"/>
      <c r="D43" s="63"/>
      <c r="E43" s="63"/>
      <c r="F43" s="63"/>
      <c r="G43" s="63"/>
      <c r="H43" s="63"/>
      <c r="I43" s="63"/>
    </row>
    <row r="44" spans="1:9" ht="9.75">
      <c r="A44" s="429"/>
      <c r="B44" s="429"/>
      <c r="C44" s="429"/>
      <c r="D44" s="429"/>
      <c r="E44" s="429"/>
      <c r="F44" s="429"/>
      <c r="G44" s="429"/>
      <c r="H44" s="429"/>
      <c r="I44" s="429"/>
    </row>
    <row r="45" spans="1:9" ht="9.75">
      <c r="A45" s="429"/>
      <c r="B45" s="429"/>
      <c r="C45" s="429"/>
      <c r="D45" s="429"/>
      <c r="E45" s="429"/>
      <c r="F45" s="429"/>
      <c r="G45" s="429"/>
      <c r="H45" s="429"/>
      <c r="I45" s="429"/>
    </row>
    <row r="46" spans="1:9" ht="9.75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12">
      <c r="A47" s="565" t="s">
        <v>6</v>
      </c>
      <c r="B47" s="566"/>
      <c r="C47" s="60">
        <f>+VN!C8</f>
        <v>2017</v>
      </c>
      <c r="D47" s="60">
        <f>+VN!D8</f>
        <v>2018</v>
      </c>
      <c r="E47" s="60">
        <f>+VN!E8</f>
        <v>2019</v>
      </c>
      <c r="F47" s="60">
        <f>+VN!F8</f>
        <v>2020</v>
      </c>
      <c r="G47" s="60">
        <f>+VN!G8</f>
        <v>2021</v>
      </c>
      <c r="H47" s="60">
        <f>+VN!H8</f>
        <v>2022</v>
      </c>
      <c r="I47" s="60">
        <f>H47+1</f>
        <v>2023</v>
      </c>
    </row>
    <row r="48" spans="1:10" ht="12.75" customHeight="1">
      <c r="A48" s="63"/>
      <c r="B48" s="152"/>
      <c r="C48" s="260"/>
      <c r="D48" s="260"/>
      <c r="E48" s="260"/>
      <c r="F48" s="260"/>
      <c r="G48" s="260"/>
      <c r="H48" s="260"/>
      <c r="I48" s="260"/>
      <c r="J48" s="572" t="s">
        <v>457</v>
      </c>
    </row>
    <row r="49" spans="1:14" ht="9.75">
      <c r="A49" s="74" t="s">
        <v>129</v>
      </c>
      <c r="B49" s="84"/>
      <c r="C49" s="261">
        <f>+'Cash Flow'!C21+PlanoFinanceiro!C12-PlanoFinanceiro!C23-'DR'!B28</f>
        <v>8158.099999999991</v>
      </c>
      <c r="D49" s="261">
        <f>+'Cash Flow'!D21+PlanoFinanceiro!D12-PlanoFinanceiro!D23-'DR'!C28</f>
        <v>104977.06800000001</v>
      </c>
      <c r="E49" s="261">
        <f>+'Cash Flow'!E21+PlanoFinanceiro!E12-PlanoFinanceiro!E23-'DR'!D28</f>
        <v>106880.71192</v>
      </c>
      <c r="F49" s="261">
        <f>+'Cash Flow'!F21+PlanoFinanceiro!F12-PlanoFinanceiro!F23-'DR'!E28</f>
        <v>108811.952244</v>
      </c>
      <c r="G49" s="261">
        <f>+'Cash Flow'!G21+PlanoFinanceiro!G12-PlanoFinanceiro!G23-'DR'!F28</f>
        <v>105771.23613533603</v>
      </c>
      <c r="H49" s="261">
        <f>+'Cash Flow'!H21+PlanoFinanceiro!H12-PlanoFinanceiro!H23-'DR'!G28</f>
        <v>107759.01865296332</v>
      </c>
      <c r="I49" s="415">
        <f>+N63</f>
        <v>410996.95264573203</v>
      </c>
      <c r="J49" s="572"/>
      <c r="K49" s="81"/>
      <c r="L49" s="81"/>
      <c r="M49" s="81"/>
      <c r="N49" s="81"/>
    </row>
    <row r="50" spans="1:14" ht="9.75">
      <c r="A50" s="63"/>
      <c r="B50" s="269"/>
      <c r="C50" s="269"/>
      <c r="D50" s="269"/>
      <c r="E50" s="269"/>
      <c r="F50" s="269"/>
      <c r="G50" s="269"/>
      <c r="H50" s="269"/>
      <c r="I50" s="269"/>
      <c r="J50" s="572"/>
      <c r="K50" s="408"/>
      <c r="L50" s="408" t="s">
        <v>2</v>
      </c>
      <c r="M50" s="408" t="s">
        <v>3</v>
      </c>
      <c r="N50" s="408"/>
    </row>
    <row r="51" spans="1:14" ht="9.75">
      <c r="A51" s="141" t="s">
        <v>109</v>
      </c>
      <c r="B51" s="264"/>
      <c r="C51" s="265">
        <f>+Pressupostos!B35</f>
        <v>0.0025</v>
      </c>
      <c r="D51" s="416">
        <f>+C51*(1+VN!D9)</f>
        <v>0.0025</v>
      </c>
      <c r="E51" s="416">
        <f>+D51*(1+VN!E9)</f>
        <v>0.0025</v>
      </c>
      <c r="F51" s="416">
        <f>+E51*(1+VN!F9)</f>
        <v>0.0025</v>
      </c>
      <c r="G51" s="416">
        <f>+F51*(1+VN!G9)</f>
        <v>0.0025</v>
      </c>
      <c r="H51" s="416">
        <f>+G51*(1+VN!H9)</f>
        <v>0.0025</v>
      </c>
      <c r="I51" s="416">
        <f>+H51*(1+VN!H9)</f>
        <v>0.0025</v>
      </c>
      <c r="K51" s="408" t="s">
        <v>22</v>
      </c>
      <c r="L51" s="409">
        <f>+C56</f>
        <v>8158.099999999991</v>
      </c>
      <c r="M51" s="409">
        <f>+L51</f>
        <v>8158.099999999991</v>
      </c>
      <c r="N51" s="410">
        <f aca="true" t="shared" si="9" ref="N51:N57">IF(M51&gt;0,M51/L51*12)</f>
        <v>12</v>
      </c>
    </row>
    <row r="52" spans="1:14" ht="9.75">
      <c r="A52" s="141" t="s">
        <v>110</v>
      </c>
      <c r="B52" s="264"/>
      <c r="C52" s="265">
        <f>+Pressupostos!B36</f>
        <v>0.05</v>
      </c>
      <c r="D52" s="265">
        <f aca="true" t="shared" si="10" ref="D52:I52">+C52</f>
        <v>0.05</v>
      </c>
      <c r="E52" s="265">
        <f t="shared" si="10"/>
        <v>0.05</v>
      </c>
      <c r="F52" s="265">
        <f t="shared" si="10"/>
        <v>0.05</v>
      </c>
      <c r="G52" s="265">
        <f t="shared" si="10"/>
        <v>0.05</v>
      </c>
      <c r="H52" s="265">
        <f t="shared" si="10"/>
        <v>0.05</v>
      </c>
      <c r="I52" s="265">
        <f t="shared" si="10"/>
        <v>0.05</v>
      </c>
      <c r="K52" s="408" t="s">
        <v>23</v>
      </c>
      <c r="L52" s="409">
        <f>+D56</f>
        <v>99740.68218527317</v>
      </c>
      <c r="M52" s="409">
        <f aca="true" t="shared" si="11" ref="M52:M57">+M51+L52</f>
        <v>107898.78218527316</v>
      </c>
      <c r="N52" s="414">
        <f t="shared" si="9"/>
        <v>12.981517249081485</v>
      </c>
    </row>
    <row r="53" spans="1:14" ht="9.75">
      <c r="A53" s="141" t="s">
        <v>419</v>
      </c>
      <c r="B53" s="264"/>
      <c r="C53" s="265">
        <f>+C51+Pressupostos!$B$37*(Avaliação!C52)</f>
        <v>0.052500000000000005</v>
      </c>
      <c r="D53" s="265">
        <f>+D51+Pressupostos!$B$37*(Avaliação!D52)</f>
        <v>0.052500000000000005</v>
      </c>
      <c r="E53" s="265">
        <f>+E51+Pressupostos!$B$37*(Avaliação!E52)</f>
        <v>0.052500000000000005</v>
      </c>
      <c r="F53" s="265">
        <f>+F51+Pressupostos!$B$37*(Avaliação!F52)</f>
        <v>0.052500000000000005</v>
      </c>
      <c r="G53" s="265">
        <f>+G51+Pressupostos!$B$37*(Avaliação!G52)</f>
        <v>0.052500000000000005</v>
      </c>
      <c r="H53" s="265">
        <f>+H51+Pressupostos!$B$37*(Avaliação!H52)</f>
        <v>0.052500000000000005</v>
      </c>
      <c r="I53" s="265">
        <f>+I51+Pressupostos!$B$37*(Avaliação!I52)</f>
        <v>0.052500000000000005</v>
      </c>
      <c r="K53" s="408" t="s">
        <v>24</v>
      </c>
      <c r="L53" s="409">
        <f>+E56</f>
        <v>96483.96199073578</v>
      </c>
      <c r="M53" s="409">
        <f t="shared" si="11"/>
        <v>204382.74417600894</v>
      </c>
      <c r="N53" s="414">
        <f t="shared" si="9"/>
        <v>25.419695455163843</v>
      </c>
    </row>
    <row r="54" spans="1:14" ht="9.75">
      <c r="A54" s="141" t="s">
        <v>127</v>
      </c>
      <c r="B54" s="264"/>
      <c r="C54" s="267">
        <v>1</v>
      </c>
      <c r="D54" s="268">
        <f>+C54*(1+D53)</f>
        <v>1.0525</v>
      </c>
      <c r="E54" s="268">
        <f>+D54*(1+E53)</f>
        <v>1.10775625</v>
      </c>
      <c r="F54" s="268">
        <f>+E54*(1+F53)</f>
        <v>1.165913453125</v>
      </c>
      <c r="G54" s="268">
        <f>+F54*(1+G53)</f>
        <v>1.2271239094140625</v>
      </c>
      <c r="H54" s="268">
        <f>+G54*(1+H53)</f>
        <v>1.2915479146583007</v>
      </c>
      <c r="I54" s="422" t="s">
        <v>431</v>
      </c>
      <c r="K54" s="408" t="s">
        <v>25</v>
      </c>
      <c r="L54" s="409">
        <f>+F56</f>
        <v>93327.64104604088</v>
      </c>
      <c r="M54" s="409">
        <f t="shared" si="11"/>
        <v>297710.38522204984</v>
      </c>
      <c r="N54" s="412">
        <f t="shared" si="9"/>
        <v>38.27938414196263</v>
      </c>
    </row>
    <row r="55" spans="1:14" ht="9.75">
      <c r="A55" s="63"/>
      <c r="B55" s="269"/>
      <c r="C55" s="279"/>
      <c r="D55" s="280"/>
      <c r="E55" s="280"/>
      <c r="F55" s="280"/>
      <c r="G55" s="280"/>
      <c r="H55" s="280"/>
      <c r="I55" s="280"/>
      <c r="K55" s="408" t="s">
        <v>26</v>
      </c>
      <c r="L55" s="409">
        <f>+G56</f>
        <v>86194.42203342007</v>
      </c>
      <c r="M55" s="409">
        <f t="shared" si="11"/>
        <v>383904.8072554699</v>
      </c>
      <c r="N55" s="412">
        <f>IF(M55&gt;0,M55/L55*12)</f>
        <v>53.44728322767136</v>
      </c>
    </row>
    <row r="56" spans="1:14" ht="9.75">
      <c r="A56" s="74" t="s">
        <v>128</v>
      </c>
      <c r="B56" s="84"/>
      <c r="C56" s="261">
        <f aca="true" t="shared" si="12" ref="C56:H56">+C49/C54</f>
        <v>8158.099999999991</v>
      </c>
      <c r="D56" s="261">
        <f t="shared" si="12"/>
        <v>99740.68218527317</v>
      </c>
      <c r="E56" s="261">
        <f t="shared" si="12"/>
        <v>96483.96199073578</v>
      </c>
      <c r="F56" s="261">
        <f t="shared" si="12"/>
        <v>93327.64104604088</v>
      </c>
      <c r="G56" s="261">
        <f t="shared" si="12"/>
        <v>86194.42203342007</v>
      </c>
      <c r="H56" s="261">
        <f t="shared" si="12"/>
        <v>83434.0076972465</v>
      </c>
      <c r="I56" s="261">
        <f>+I49/H54</f>
        <v>318220.445390497</v>
      </c>
      <c r="K56" s="408" t="s">
        <v>27</v>
      </c>
      <c r="L56" s="409">
        <f>+H56</f>
        <v>83434.0076972465</v>
      </c>
      <c r="M56" s="409">
        <f t="shared" si="11"/>
        <v>467338.8149527164</v>
      </c>
      <c r="N56" s="412">
        <f>IF(M56&gt;0,M56/L56*12)</f>
        <v>67.21558671593903</v>
      </c>
    </row>
    <row r="57" spans="1:14" ht="9.75">
      <c r="A57" s="262"/>
      <c r="B57" s="66"/>
      <c r="C57" s="263"/>
      <c r="D57" s="263"/>
      <c r="E57" s="263"/>
      <c r="F57" s="263"/>
      <c r="G57" s="263"/>
      <c r="H57" s="263"/>
      <c r="I57" s="263"/>
      <c r="K57" s="408" t="s">
        <v>141</v>
      </c>
      <c r="L57" s="409">
        <f>+I56</f>
        <v>318220.445390497</v>
      </c>
      <c r="M57" s="409">
        <f t="shared" si="11"/>
        <v>785559.2603432133</v>
      </c>
      <c r="N57" s="412">
        <f t="shared" si="9"/>
        <v>29.623210138339118</v>
      </c>
    </row>
    <row r="58" spans="1:14" ht="9.75">
      <c r="A58" s="74" t="s">
        <v>424</v>
      </c>
      <c r="B58" s="84"/>
      <c r="C58" s="261">
        <f>+C56</f>
        <v>8158.099999999991</v>
      </c>
      <c r="D58" s="261">
        <f>+SUM($C$56:D56)</f>
        <v>107898.78218527316</v>
      </c>
      <c r="E58" s="261">
        <f>+SUM($C$56:E56)</f>
        <v>204382.74417600894</v>
      </c>
      <c r="F58" s="261">
        <f>+SUM($C$56:F56)</f>
        <v>297710.38522204984</v>
      </c>
      <c r="G58" s="261">
        <f>+SUM($C$56:G56)</f>
        <v>383904.8072554699</v>
      </c>
      <c r="H58" s="261">
        <f>+SUM($C$56:H56)</f>
        <v>467338.8149527164</v>
      </c>
      <c r="I58" s="261">
        <f>+SUM($C$56:I56)</f>
        <v>785559.2603432133</v>
      </c>
      <c r="K58" s="81"/>
      <c r="L58" s="81"/>
      <c r="M58" s="81"/>
      <c r="N58" s="81"/>
    </row>
    <row r="59" spans="1:14" ht="9.75">
      <c r="A59" s="63"/>
      <c r="B59" s="152"/>
      <c r="C59" s="270"/>
      <c r="D59" s="63"/>
      <c r="E59" s="63"/>
      <c r="F59" s="63"/>
      <c r="G59" s="260"/>
      <c r="H59" s="260"/>
      <c r="I59" s="260"/>
      <c r="K59" s="81"/>
      <c r="L59" s="81"/>
      <c r="M59" s="81"/>
      <c r="N59" s="81"/>
    </row>
    <row r="60" spans="1:14" ht="9.75">
      <c r="A60" s="74" t="s">
        <v>210</v>
      </c>
      <c r="B60" s="84"/>
      <c r="C60" s="261">
        <f>I58</f>
        <v>785559.2603432133</v>
      </c>
      <c r="D60" s="271"/>
      <c r="E60" s="260"/>
      <c r="F60" s="272"/>
      <c r="G60" s="273"/>
      <c r="H60" s="271"/>
      <c r="I60" s="271"/>
      <c r="K60" s="464" t="s">
        <v>415</v>
      </c>
      <c r="L60" s="464"/>
      <c r="M60" s="81"/>
      <c r="N60" s="81"/>
    </row>
    <row r="61" spans="1:14" ht="10.5">
      <c r="A61" s="63"/>
      <c r="B61" s="274"/>
      <c r="C61" s="260"/>
      <c r="D61" s="260"/>
      <c r="E61" s="260"/>
      <c r="F61" s="260"/>
      <c r="G61" s="260"/>
      <c r="H61" s="260"/>
      <c r="I61" s="260"/>
      <c r="J61" s="281"/>
      <c r="K61" s="466" t="s">
        <v>417</v>
      </c>
      <c r="L61" s="466"/>
      <c r="M61" s="466"/>
      <c r="N61" s="465">
        <f>+($H$49*(1+Pressupostos!$B$38))/($I$53-Pressupostos!$B$38)</f>
        <v>2056675.4686035996</v>
      </c>
    </row>
    <row r="62" spans="1:14" ht="9.75">
      <c r="A62" s="74" t="s">
        <v>0</v>
      </c>
      <c r="B62" s="84"/>
      <c r="C62" s="275" t="e">
        <f>IRR(C49:I49,0.1)</f>
        <v>#NUM!</v>
      </c>
      <c r="D62" s="276"/>
      <c r="E62" s="276"/>
      <c r="F62" s="276"/>
      <c r="G62" s="276"/>
      <c r="H62" s="260"/>
      <c r="I62" s="260"/>
      <c r="J62" s="281"/>
      <c r="K62" s="413" t="s">
        <v>416</v>
      </c>
      <c r="L62" s="302"/>
      <c r="M62" s="302"/>
      <c r="N62" s="430"/>
    </row>
    <row r="63" spans="1:14" ht="9.75" customHeight="1">
      <c r="A63" s="63"/>
      <c r="B63" s="152"/>
      <c r="C63" s="276"/>
      <c r="D63" s="276"/>
      <c r="E63" s="276"/>
      <c r="F63" s="276"/>
      <c r="G63" s="276"/>
      <c r="H63" s="260"/>
      <c r="I63" s="260"/>
      <c r="J63" s="281"/>
      <c r="K63" s="567" t="s">
        <v>432</v>
      </c>
      <c r="L63" s="567"/>
      <c r="M63" s="567"/>
      <c r="N63" s="568">
        <f>+Balanço!H33/(H54*(1+I53))</f>
        <v>410996.95264573203</v>
      </c>
    </row>
    <row r="64" spans="1:14" ht="9.75">
      <c r="A64" s="74" t="s">
        <v>1</v>
      </c>
      <c r="B64" s="84"/>
      <c r="C64" s="421">
        <f>COUNTIF(N51:N56,"falso")</f>
        <v>0</v>
      </c>
      <c r="D64" s="277" t="s">
        <v>7</v>
      </c>
      <c r="E64" s="276"/>
      <c r="F64" s="276"/>
      <c r="G64" s="276"/>
      <c r="H64" s="260"/>
      <c r="I64" s="260"/>
      <c r="J64" s="281"/>
      <c r="K64" s="567"/>
      <c r="L64" s="567"/>
      <c r="M64" s="567"/>
      <c r="N64" s="569"/>
    </row>
    <row r="65" spans="1:14" ht="9.75">
      <c r="A65" s="63"/>
      <c r="B65" s="63"/>
      <c r="C65" s="63"/>
      <c r="D65" s="63"/>
      <c r="E65" s="63"/>
      <c r="F65" s="63"/>
      <c r="G65" s="63"/>
      <c r="H65" s="63"/>
      <c r="I65" s="63"/>
      <c r="J65" s="281"/>
      <c r="K65" s="81"/>
      <c r="L65" s="81"/>
      <c r="M65" s="81"/>
      <c r="N65" s="282"/>
    </row>
    <row r="66" spans="1:14" ht="9.75">
      <c r="A66" s="63"/>
      <c r="B66" s="63"/>
      <c r="C66" s="63"/>
      <c r="D66" s="63"/>
      <c r="E66" s="63"/>
      <c r="F66" s="63"/>
      <c r="G66" s="63"/>
      <c r="H66" s="63"/>
      <c r="I66" s="63"/>
      <c r="J66" s="281"/>
      <c r="K66" s="81"/>
      <c r="L66" s="81"/>
      <c r="M66" s="81"/>
      <c r="N66" s="282"/>
    </row>
    <row r="67" spans="1:9" ht="9.75">
      <c r="A67" s="63"/>
      <c r="B67" s="278"/>
      <c r="C67" s="63"/>
      <c r="D67" s="63"/>
      <c r="E67" s="63"/>
      <c r="F67" s="63"/>
      <c r="G67" s="63"/>
      <c r="H67" s="63"/>
      <c r="I67" s="63"/>
    </row>
    <row r="68" spans="1:15" ht="9.75">
      <c r="A68" s="311" t="s">
        <v>244</v>
      </c>
      <c r="B68" s="303">
        <f>+C27</f>
        <v>2017</v>
      </c>
      <c r="C68" s="308">
        <f>+B68+1</f>
        <v>2018</v>
      </c>
      <c r="D68" s="308">
        <f>+C68+1</f>
        <v>2019</v>
      </c>
      <c r="E68" s="308">
        <f>+D68+1</f>
        <v>2020</v>
      </c>
      <c r="F68" s="308">
        <f>+E68+1</f>
        <v>2021</v>
      </c>
      <c r="G68" s="308">
        <f>+F68+1</f>
        <v>2022</v>
      </c>
      <c r="H68" s="63"/>
      <c r="I68" s="63"/>
      <c r="K68" s="81"/>
      <c r="L68" s="81"/>
      <c r="M68" s="81"/>
      <c r="N68" s="81"/>
      <c r="O68" s="81"/>
    </row>
    <row r="69" spans="1:9" ht="9.75">
      <c r="A69" s="307" t="s">
        <v>248</v>
      </c>
      <c r="B69" s="309">
        <f>Balanço!C39+Balanço!C46</f>
        <v>0</v>
      </c>
      <c r="C69" s="309">
        <f>Balanço!D39+Balanço!D46</f>
        <v>0</v>
      </c>
      <c r="D69" s="309">
        <f>Balanço!E39+Balanço!E46</f>
        <v>0</v>
      </c>
      <c r="E69" s="309">
        <f>Balanço!F39+Balanço!F46</f>
        <v>0</v>
      </c>
      <c r="F69" s="309">
        <f>Balanço!G39+Balanço!G46</f>
        <v>0</v>
      </c>
      <c r="G69" s="309">
        <f>Balanço!H39+Balanço!H46</f>
        <v>0</v>
      </c>
      <c r="H69" s="63"/>
      <c r="I69" s="63"/>
    </row>
    <row r="70" spans="1:9" ht="9.75">
      <c r="A70" s="307" t="s">
        <v>211</v>
      </c>
      <c r="B70" s="309">
        <f>+Balanço!C33</f>
        <v>83324.09999999999</v>
      </c>
      <c r="C70" s="309">
        <f>+Balanço!D33</f>
        <v>168527.86800000002</v>
      </c>
      <c r="D70" s="309">
        <f>+Balanço!E33</f>
        <v>255638.51172</v>
      </c>
      <c r="E70" s="309">
        <f>+Balanço!F33</f>
        <v>344683.679178</v>
      </c>
      <c r="F70" s="309">
        <f>+Balanço!G33</f>
        <v>450691.46645739605</v>
      </c>
      <c r="G70" s="309">
        <f>+Balanço!H33</f>
        <v>558690.4256193384</v>
      </c>
      <c r="H70" s="63"/>
      <c r="I70" s="63"/>
    </row>
    <row r="71" spans="1:9" ht="9.75">
      <c r="A71" s="306" t="s">
        <v>46</v>
      </c>
      <c r="B71" s="309">
        <f aca="true" t="shared" si="13" ref="B71:G71">+B69+B70</f>
        <v>83324.09999999999</v>
      </c>
      <c r="C71" s="309">
        <f t="shared" si="13"/>
        <v>168527.86800000002</v>
      </c>
      <c r="D71" s="309">
        <f t="shared" si="13"/>
        <v>255638.51172</v>
      </c>
      <c r="E71" s="309">
        <f t="shared" si="13"/>
        <v>344683.679178</v>
      </c>
      <c r="F71" s="309">
        <f t="shared" si="13"/>
        <v>450691.46645739605</v>
      </c>
      <c r="G71" s="309">
        <f t="shared" si="13"/>
        <v>558690.4256193384</v>
      </c>
      <c r="H71" s="63"/>
      <c r="I71" s="63"/>
    </row>
    <row r="72" spans="1:9" ht="9.75">
      <c r="A72" s="307" t="s">
        <v>250</v>
      </c>
      <c r="B72" s="310">
        <f aca="true" t="shared" si="14" ref="B72:G72">+B69/B71</f>
        <v>0</v>
      </c>
      <c r="C72" s="310">
        <f t="shared" si="14"/>
        <v>0</v>
      </c>
      <c r="D72" s="310">
        <f t="shared" si="14"/>
        <v>0</v>
      </c>
      <c r="E72" s="310">
        <f t="shared" si="14"/>
        <v>0</v>
      </c>
      <c r="F72" s="310">
        <f t="shared" si="14"/>
        <v>0</v>
      </c>
      <c r="G72" s="310">
        <f t="shared" si="14"/>
        <v>0</v>
      </c>
      <c r="H72" s="63"/>
      <c r="I72" s="63"/>
    </row>
    <row r="73" spans="1:9" ht="9.75">
      <c r="A73" s="307" t="s">
        <v>245</v>
      </c>
      <c r="B73" s="310">
        <f aca="true" t="shared" si="15" ref="B73:G73">+B70/B71</f>
        <v>1</v>
      </c>
      <c r="C73" s="310">
        <f t="shared" si="15"/>
        <v>1</v>
      </c>
      <c r="D73" s="310">
        <f t="shared" si="15"/>
        <v>1</v>
      </c>
      <c r="E73" s="310">
        <f t="shared" si="15"/>
        <v>1</v>
      </c>
      <c r="F73" s="310">
        <f t="shared" si="15"/>
        <v>1</v>
      </c>
      <c r="G73" s="310">
        <f t="shared" si="15"/>
        <v>1</v>
      </c>
      <c r="H73" s="63"/>
      <c r="I73" s="63"/>
    </row>
    <row r="74" spans="1:9" ht="9.75">
      <c r="A74" s="63"/>
      <c r="B74" s="278"/>
      <c r="C74" s="63"/>
      <c r="D74" s="63"/>
      <c r="E74" s="63"/>
      <c r="F74" s="63"/>
      <c r="G74" s="63"/>
      <c r="H74" s="63"/>
      <c r="I74" s="63"/>
    </row>
    <row r="75" spans="1:9" ht="9.75">
      <c r="A75" s="419" t="s">
        <v>422</v>
      </c>
      <c r="B75" s="417">
        <f>+Pressupostos!B37*(1+(1-Pressupostos!B29)*(Avaliação!B69/Avaliação!B70))</f>
        <v>1</v>
      </c>
      <c r="C75" s="418">
        <f>+B75</f>
        <v>1</v>
      </c>
      <c r="D75" s="418">
        <f>+C75</f>
        <v>1</v>
      </c>
      <c r="E75" s="418">
        <f>+D75</f>
        <v>1</v>
      </c>
      <c r="F75" s="418">
        <f>+E75</f>
        <v>1</v>
      </c>
      <c r="G75" s="418">
        <f>+F75</f>
        <v>1</v>
      </c>
      <c r="H75" s="63"/>
      <c r="I75" s="63"/>
    </row>
    <row r="76" spans="1:9" ht="9.75">
      <c r="A76" s="305" t="s">
        <v>9</v>
      </c>
      <c r="B76" s="278"/>
      <c r="C76" s="63"/>
      <c r="D76" s="63"/>
      <c r="E76" s="63"/>
      <c r="F76" s="63"/>
      <c r="G76" s="63"/>
      <c r="H76" s="63"/>
      <c r="I76" s="63"/>
    </row>
    <row r="77" spans="1:9" ht="9.75">
      <c r="A77" s="307" t="s">
        <v>247</v>
      </c>
      <c r="B77" s="310">
        <f>+Pressupostos!$B$33</f>
        <v>0</v>
      </c>
      <c r="C77" s="310">
        <f>+Pressupostos!$B$33</f>
        <v>0</v>
      </c>
      <c r="D77" s="310">
        <f>+Pressupostos!$B$33</f>
        <v>0</v>
      </c>
      <c r="E77" s="310">
        <f>+Pressupostos!$B$33</f>
        <v>0</v>
      </c>
      <c r="F77" s="310">
        <f>+Pressupostos!$B$33</f>
        <v>0</v>
      </c>
      <c r="G77" s="310">
        <f>+Pressupostos!$B$33</f>
        <v>0</v>
      </c>
      <c r="H77" s="63"/>
      <c r="I77" s="63"/>
    </row>
    <row r="78" spans="1:9" ht="9.75">
      <c r="A78" s="307" t="s">
        <v>249</v>
      </c>
      <c r="B78" s="310">
        <f>B77*(1-Pressupostos!$B$29)</f>
        <v>0</v>
      </c>
      <c r="C78" s="310">
        <f>C77*(1-Pressupostos!$B$29)</f>
        <v>0</v>
      </c>
      <c r="D78" s="310">
        <f>D77*(1-Pressupostos!$B$29)</f>
        <v>0</v>
      </c>
      <c r="E78" s="310">
        <f>E77*(1-Pressupostos!$B$29)</f>
        <v>0</v>
      </c>
      <c r="F78" s="310">
        <f>F77*(1-Pressupostos!$B$29)</f>
        <v>0</v>
      </c>
      <c r="G78" s="310">
        <f>G77*(1-Pressupostos!$B$29)</f>
        <v>0</v>
      </c>
      <c r="H78" s="63"/>
      <c r="I78" s="63"/>
    </row>
    <row r="79" spans="1:9" ht="9.75">
      <c r="A79" s="307" t="s">
        <v>421</v>
      </c>
      <c r="B79" s="310">
        <f>(C51+(B75*Pressupostos!$B$36))</f>
        <v>0.052500000000000005</v>
      </c>
      <c r="C79" s="310">
        <f>(D51+(C75*Pressupostos!$B$36))</f>
        <v>0.052500000000000005</v>
      </c>
      <c r="D79" s="310">
        <f>(E51+(D75*Pressupostos!$B$36))</f>
        <v>0.052500000000000005</v>
      </c>
      <c r="E79" s="310">
        <f>(F51+(E75*Pressupostos!$B$36))</f>
        <v>0.052500000000000005</v>
      </c>
      <c r="F79" s="310">
        <f>(G51+(F75*Pressupostos!$B$36))</f>
        <v>0.052500000000000005</v>
      </c>
      <c r="G79" s="310">
        <f>(H51+(G75*Pressupostos!$B$36))</f>
        <v>0.052500000000000005</v>
      </c>
      <c r="H79" s="63"/>
      <c r="I79" s="63"/>
    </row>
    <row r="80" spans="1:9" ht="9.75">
      <c r="A80" s="307" t="s">
        <v>134</v>
      </c>
      <c r="B80" s="310">
        <f aca="true" t="shared" si="16" ref="B80:G80">(B72*B78)+(B73*B79)</f>
        <v>0.052500000000000005</v>
      </c>
      <c r="C80" s="310">
        <f t="shared" si="16"/>
        <v>0.052500000000000005</v>
      </c>
      <c r="D80" s="310">
        <f t="shared" si="16"/>
        <v>0.052500000000000005</v>
      </c>
      <c r="E80" s="310">
        <f t="shared" si="16"/>
        <v>0.052500000000000005</v>
      </c>
      <c r="F80" s="310">
        <f t="shared" si="16"/>
        <v>0.052500000000000005</v>
      </c>
      <c r="G80" s="310">
        <f t="shared" si="16"/>
        <v>0.052500000000000005</v>
      </c>
      <c r="H80" s="63"/>
      <c r="I80" s="63"/>
    </row>
    <row r="81" spans="1:9" ht="9.75">
      <c r="A81" s="63"/>
      <c r="B81" s="195"/>
      <c r="C81" s="195"/>
      <c r="D81" s="195"/>
      <c r="E81" s="195"/>
      <c r="F81" s="195"/>
      <c r="G81" s="195"/>
      <c r="H81" s="63"/>
      <c r="I81" s="63"/>
    </row>
    <row r="82" spans="1:9" ht="9.75">
      <c r="A82" s="63"/>
      <c r="B82" s="278"/>
      <c r="C82" s="63"/>
      <c r="D82" s="63"/>
      <c r="E82" s="63"/>
      <c r="F82" s="63"/>
      <c r="G82" s="63"/>
      <c r="H82" s="63"/>
      <c r="I82" s="63"/>
    </row>
  </sheetData>
  <sheetProtection password="8318" sheet="1"/>
  <mergeCells count="13">
    <mergeCell ref="J8:J10"/>
    <mergeCell ref="J28:J30"/>
    <mergeCell ref="J48:J50"/>
    <mergeCell ref="A4:I4"/>
    <mergeCell ref="A47:B47"/>
    <mergeCell ref="K39:M40"/>
    <mergeCell ref="N39:N40"/>
    <mergeCell ref="K63:M64"/>
    <mergeCell ref="N63:N64"/>
    <mergeCell ref="A7:B7"/>
    <mergeCell ref="K20:M21"/>
    <mergeCell ref="N20:N21"/>
    <mergeCell ref="A27:B27"/>
  </mergeCells>
  <printOptions horizontalCentered="1"/>
  <pageMargins left="0.75" right="0.75" top="0.3937007874015748" bottom="0.3937007874015748" header="0.5118110236220472" footer="0.5118110236220472"/>
  <pageSetup fitToHeight="1" fitToWidth="1" horizontalDpi="600" verticalDpi="600" orientation="portrait" paperSize="9" scale="85"/>
  <headerFooter alignWithMargins="0">
    <oddFooter>&amp;C&amp;"Arial,Normal"&amp;8IAPMEI&amp;R&amp;"Arial,Normal"&amp;8&amp;P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lha6">
    <pageSetUpPr fitToPage="1"/>
  </sheetPr>
  <dimension ref="A1:H91"/>
  <sheetViews>
    <sheetView showGridLines="0" showZeros="0" workbookViewId="0" topLeftCell="A51">
      <selection activeCell="A99" sqref="A99"/>
    </sheetView>
  </sheetViews>
  <sheetFormatPr defaultColWidth="8.7109375" defaultRowHeight="12.75"/>
  <cols>
    <col min="1" max="1" width="42.28125" style="73" customWidth="1"/>
    <col min="2" max="2" width="13.7109375" style="73" bestFit="1" customWidth="1"/>
    <col min="3" max="10" width="11.421875" style="73" customWidth="1"/>
    <col min="11" max="16384" width="8.7109375" style="73" customWidth="1"/>
  </cols>
  <sheetData>
    <row r="1" spans="1:8" ht="12.75">
      <c r="A1" s="63"/>
      <c r="B1" s="63"/>
      <c r="C1" s="245"/>
      <c r="D1" s="245"/>
      <c r="E1" s="245"/>
      <c r="F1" s="245"/>
      <c r="G1" s="246" t="s">
        <v>63</v>
      </c>
      <c r="H1" s="346" t="str">
        <f>+Pressupostos!E1</f>
        <v>XPTO, Lda</v>
      </c>
    </row>
    <row r="2" spans="1:8" s="250" customFormat="1" ht="12.75">
      <c r="A2" s="248"/>
      <c r="B2" s="248"/>
      <c r="C2" s="248"/>
      <c r="D2" s="248"/>
      <c r="E2" s="53"/>
      <c r="F2" s="53"/>
      <c r="G2" s="53"/>
      <c r="H2" s="249"/>
    </row>
    <row r="3" spans="1:8" s="250" customFormat="1" ht="12.75">
      <c r="A3" s="248"/>
      <c r="B3" s="248"/>
      <c r="C3" s="248"/>
      <c r="D3" s="248"/>
      <c r="E3" s="53"/>
      <c r="F3" s="53"/>
      <c r="G3" s="53"/>
      <c r="H3" s="249"/>
    </row>
    <row r="4" spans="1:8" ht="15.75">
      <c r="A4" s="511" t="s">
        <v>376</v>
      </c>
      <c r="B4" s="511"/>
      <c r="C4" s="511"/>
      <c r="D4" s="511"/>
      <c r="E4" s="511"/>
      <c r="F4" s="511"/>
      <c r="G4" s="511"/>
      <c r="H4" s="511"/>
    </row>
    <row r="5" spans="1:8" ht="9.75">
      <c r="A5" s="63"/>
      <c r="B5" s="152"/>
      <c r="C5" s="63"/>
      <c r="D5" s="63"/>
      <c r="E5" s="63"/>
      <c r="F5" s="63"/>
      <c r="G5" s="63"/>
      <c r="H5" s="63"/>
    </row>
    <row r="6" spans="1:8" ht="9.75">
      <c r="A6" s="347" t="s">
        <v>377</v>
      </c>
      <c r="B6" s="152"/>
      <c r="C6" s="63"/>
      <c r="D6" s="63"/>
      <c r="E6" s="63"/>
      <c r="F6" s="63"/>
      <c r="G6" s="63"/>
      <c r="H6" s="63"/>
    </row>
    <row r="7" spans="1:8" ht="9.75">
      <c r="A7" s="348" t="s">
        <v>378</v>
      </c>
      <c r="B7" s="349" t="s">
        <v>379</v>
      </c>
      <c r="C7" s="349" t="s">
        <v>380</v>
      </c>
      <c r="D7" s="349" t="s">
        <v>381</v>
      </c>
      <c r="E7" s="349" t="s">
        <v>382</v>
      </c>
      <c r="F7" s="349" t="s">
        <v>383</v>
      </c>
      <c r="G7" s="63"/>
      <c r="H7" s="63"/>
    </row>
    <row r="8" spans="1:8" ht="9.75">
      <c r="A8" s="350"/>
      <c r="B8" s="351"/>
      <c r="C8" s="351"/>
      <c r="D8" s="351"/>
      <c r="E8" s="351"/>
      <c r="F8" s="351"/>
      <c r="G8" s="63"/>
      <c r="H8" s="63"/>
    </row>
    <row r="9" spans="1:8" ht="9.75">
      <c r="A9" s="352"/>
      <c r="B9" s="351"/>
      <c r="C9" s="351"/>
      <c r="D9" s="351"/>
      <c r="E9" s="351"/>
      <c r="F9" s="351"/>
      <c r="G9" s="63"/>
      <c r="H9" s="63"/>
    </row>
    <row r="10" spans="1:8" ht="9.75">
      <c r="A10" s="353"/>
      <c r="B10" s="44"/>
      <c r="C10" s="44"/>
      <c r="D10" s="44"/>
      <c r="E10" s="44"/>
      <c r="F10" s="44"/>
      <c r="G10" s="63"/>
      <c r="H10" s="63"/>
    </row>
    <row r="11" spans="1:8" ht="9.75">
      <c r="A11" s="353"/>
      <c r="B11" s="44"/>
      <c r="C11" s="44"/>
      <c r="D11" s="44"/>
      <c r="E11" s="44"/>
      <c r="F11" s="44"/>
      <c r="G11" s="211"/>
      <c r="H11" s="211"/>
    </row>
    <row r="12" spans="1:8" ht="9.75">
      <c r="A12" s="353"/>
      <c r="B12" s="44"/>
      <c r="C12" s="44"/>
      <c r="D12" s="44"/>
      <c r="E12" s="44"/>
      <c r="F12" s="44"/>
      <c r="G12" s="211"/>
      <c r="H12" s="211"/>
    </row>
    <row r="13" spans="1:8" ht="9.75">
      <c r="A13" s="352"/>
      <c r="B13" s="44"/>
      <c r="C13" s="44"/>
      <c r="D13" s="44"/>
      <c r="E13" s="44"/>
      <c r="F13" s="44"/>
      <c r="G13" s="211"/>
      <c r="H13" s="211"/>
    </row>
    <row r="14" spans="1:8" ht="9.75">
      <c r="A14" s="352"/>
      <c r="B14" s="44"/>
      <c r="C14" s="44"/>
      <c r="D14" s="44"/>
      <c r="E14" s="44"/>
      <c r="F14" s="44"/>
      <c r="G14" s="211"/>
      <c r="H14" s="211"/>
    </row>
    <row r="15" spans="1:8" ht="9.75">
      <c r="A15" s="353"/>
      <c r="B15" s="44"/>
      <c r="C15" s="44"/>
      <c r="D15" s="44"/>
      <c r="E15" s="44"/>
      <c r="F15" s="44"/>
      <c r="G15" s="211"/>
      <c r="H15" s="211"/>
    </row>
    <row r="16" spans="1:8" ht="9.75">
      <c r="A16" s="353"/>
      <c r="B16" s="44"/>
      <c r="C16" s="44"/>
      <c r="D16" s="44"/>
      <c r="E16" s="44"/>
      <c r="F16" s="44"/>
      <c r="G16" s="211"/>
      <c r="H16" s="211"/>
    </row>
    <row r="17" spans="1:8" ht="9.75">
      <c r="A17" s="352"/>
      <c r="B17" s="44"/>
      <c r="C17" s="44"/>
      <c r="D17" s="44"/>
      <c r="E17" s="44"/>
      <c r="F17" s="44"/>
      <c r="G17" s="211"/>
      <c r="H17" s="211"/>
    </row>
    <row r="18" spans="1:8" ht="9.75">
      <c r="A18" s="352"/>
      <c r="B18" s="44"/>
      <c r="C18" s="44"/>
      <c r="D18" s="44"/>
      <c r="E18" s="44"/>
      <c r="F18" s="44"/>
      <c r="G18" s="211"/>
      <c r="H18" s="211"/>
    </row>
    <row r="19" spans="1:8" ht="9.75">
      <c r="A19" s="352"/>
      <c r="B19" s="44"/>
      <c r="C19" s="44"/>
      <c r="D19" s="44"/>
      <c r="E19" s="44"/>
      <c r="F19" s="44"/>
      <c r="G19" s="211"/>
      <c r="H19" s="211"/>
    </row>
    <row r="20" spans="1:8" ht="9.75">
      <c r="A20" s="350"/>
      <c r="B20" s="354"/>
      <c r="C20" s="354"/>
      <c r="D20" s="354"/>
      <c r="E20" s="354"/>
      <c r="F20" s="354"/>
      <c r="G20" s="211"/>
      <c r="H20" s="211"/>
    </row>
    <row r="21" spans="1:8" ht="9.75">
      <c r="A21" s="352"/>
      <c r="B21" s="355"/>
      <c r="C21" s="356"/>
      <c r="D21" s="356"/>
      <c r="E21" s="356"/>
      <c r="F21" s="357"/>
      <c r="G21" s="211"/>
      <c r="H21" s="211"/>
    </row>
    <row r="22" spans="1:8" ht="9.75">
      <c r="A22" s="152"/>
      <c r="B22" s="358"/>
      <c r="C22" s="358"/>
      <c r="D22" s="358"/>
      <c r="E22" s="358"/>
      <c r="F22" s="358"/>
      <c r="G22" s="211"/>
      <c r="H22" s="211"/>
    </row>
    <row r="23" spans="1:8" ht="9.75">
      <c r="A23" s="152"/>
      <c r="B23" s="358"/>
      <c r="C23" s="358"/>
      <c r="D23" s="358"/>
      <c r="E23" s="358"/>
      <c r="F23" s="358"/>
      <c r="G23" s="211"/>
      <c r="H23" s="211"/>
    </row>
    <row r="24" spans="1:8" ht="9.75">
      <c r="A24" s="347" t="s">
        <v>384</v>
      </c>
      <c r="B24" s="152"/>
      <c r="C24" s="63"/>
      <c r="D24" s="63"/>
      <c r="E24" s="63"/>
      <c r="F24" s="63"/>
      <c r="G24" s="211"/>
      <c r="H24" s="211" t="s">
        <v>385</v>
      </c>
    </row>
    <row r="25" spans="1:8" ht="9.75">
      <c r="A25" s="348" t="s">
        <v>386</v>
      </c>
      <c r="B25" s="359"/>
      <c r="C25" s="349">
        <f>+Pressupostos!B11</f>
        <v>2017</v>
      </c>
      <c r="D25" s="349">
        <f>+C25+1</f>
        <v>2018</v>
      </c>
      <c r="E25" s="349">
        <f>+D25+1</f>
        <v>2019</v>
      </c>
      <c r="F25" s="349">
        <f>+E25+1</f>
        <v>2020</v>
      </c>
      <c r="G25" s="349">
        <f>+F25+1</f>
        <v>2021</v>
      </c>
      <c r="H25" s="349">
        <f>+G25+1</f>
        <v>2022</v>
      </c>
    </row>
    <row r="26" spans="1:8" ht="9.75">
      <c r="A26" s="329" t="s">
        <v>380</v>
      </c>
      <c r="B26" s="360"/>
      <c r="C26" s="351"/>
      <c r="D26" s="351"/>
      <c r="E26" s="351"/>
      <c r="F26" s="351"/>
      <c r="G26" s="351"/>
      <c r="H26" s="351"/>
    </row>
    <row r="27" spans="1:8" ht="9.75">
      <c r="A27" s="329" t="s">
        <v>381</v>
      </c>
      <c r="B27" s="361"/>
      <c r="C27" s="44"/>
      <c r="D27" s="44"/>
      <c r="E27" s="44"/>
      <c r="F27" s="44"/>
      <c r="G27" s="44"/>
      <c r="H27" s="44"/>
    </row>
    <row r="28" spans="1:8" ht="9.75">
      <c r="A28" s="329" t="s">
        <v>382</v>
      </c>
      <c r="B28" s="361"/>
      <c r="C28" s="44"/>
      <c r="D28" s="44"/>
      <c r="E28" s="44"/>
      <c r="F28" s="44"/>
      <c r="G28" s="44"/>
      <c r="H28" s="44"/>
    </row>
    <row r="29" spans="1:8" ht="9.75">
      <c r="A29" s="329" t="s">
        <v>383</v>
      </c>
      <c r="B29" s="361"/>
      <c r="C29" s="44"/>
      <c r="D29" s="44"/>
      <c r="E29" s="44"/>
      <c r="F29" s="44"/>
      <c r="G29" s="44"/>
      <c r="H29" s="44"/>
    </row>
    <row r="30" spans="1:8" ht="9.75">
      <c r="A30" s="352"/>
      <c r="B30" s="361"/>
      <c r="C30" s="44"/>
      <c r="D30" s="44"/>
      <c r="E30" s="44"/>
      <c r="F30" s="44"/>
      <c r="G30" s="44"/>
      <c r="H30" s="44"/>
    </row>
    <row r="31" spans="1:8" ht="9.75">
      <c r="A31" s="352"/>
      <c r="B31" s="361"/>
      <c r="C31" s="44"/>
      <c r="D31" s="44"/>
      <c r="E31" s="44"/>
      <c r="F31" s="44"/>
      <c r="G31" s="44"/>
      <c r="H31" s="44"/>
    </row>
    <row r="32" spans="1:8" ht="9.75">
      <c r="A32" s="353"/>
      <c r="B32" s="361"/>
      <c r="C32" s="44"/>
      <c r="D32" s="44"/>
      <c r="E32" s="44"/>
      <c r="F32" s="44"/>
      <c r="G32" s="44"/>
      <c r="H32" s="44"/>
    </row>
    <row r="33" spans="1:8" ht="9.75">
      <c r="A33" s="573" t="s">
        <v>46</v>
      </c>
      <c r="B33" s="574"/>
      <c r="C33" s="362">
        <f aca="true" t="shared" si="0" ref="C33:H33">+SUM(C26:C32)</f>
        <v>0</v>
      </c>
      <c r="D33" s="362">
        <f t="shared" si="0"/>
        <v>0</v>
      </c>
      <c r="E33" s="362">
        <f t="shared" si="0"/>
        <v>0</v>
      </c>
      <c r="F33" s="362">
        <f t="shared" si="0"/>
        <v>0</v>
      </c>
      <c r="G33" s="362">
        <f t="shared" si="0"/>
        <v>0</v>
      </c>
      <c r="H33" s="362">
        <f t="shared" si="0"/>
        <v>0</v>
      </c>
    </row>
    <row r="34" spans="1:8" ht="9.75">
      <c r="A34" s="161"/>
      <c r="B34" s="363"/>
      <c r="C34" s="169"/>
      <c r="D34" s="169"/>
      <c r="E34" s="169"/>
      <c r="F34" s="169"/>
      <c r="G34" s="211"/>
      <c r="H34" s="211"/>
    </row>
    <row r="35" spans="1:8" ht="9.75">
      <c r="A35" s="347" t="s">
        <v>387</v>
      </c>
      <c r="B35" s="152"/>
      <c r="C35" s="63"/>
      <c r="D35" s="63"/>
      <c r="E35" s="63"/>
      <c r="F35" s="63"/>
      <c r="G35" s="211"/>
      <c r="H35" s="211" t="s">
        <v>385</v>
      </c>
    </row>
    <row r="36" spans="1:8" ht="9.75">
      <c r="A36" s="573" t="s">
        <v>388</v>
      </c>
      <c r="B36" s="574"/>
      <c r="C36" s="349">
        <f aca="true" t="shared" si="1" ref="C36:H36">+C25</f>
        <v>2017</v>
      </c>
      <c r="D36" s="349">
        <f t="shared" si="1"/>
        <v>2018</v>
      </c>
      <c r="E36" s="349">
        <f t="shared" si="1"/>
        <v>2019</v>
      </c>
      <c r="F36" s="349">
        <f t="shared" si="1"/>
        <v>2020</v>
      </c>
      <c r="G36" s="349">
        <f t="shared" si="1"/>
        <v>2021</v>
      </c>
      <c r="H36" s="349">
        <f t="shared" si="1"/>
        <v>2022</v>
      </c>
    </row>
    <row r="37" spans="1:8" ht="9.75">
      <c r="A37" s="350"/>
      <c r="B37" s="360"/>
      <c r="C37" s="351"/>
      <c r="D37" s="351"/>
      <c r="E37" s="351"/>
      <c r="F37" s="351"/>
      <c r="G37" s="351"/>
      <c r="H37" s="351"/>
    </row>
    <row r="38" spans="1:8" ht="9.75">
      <c r="A38" s="364"/>
      <c r="B38" s="360"/>
      <c r="C38" s="351"/>
      <c r="D38" s="351"/>
      <c r="E38" s="351"/>
      <c r="F38" s="351"/>
      <c r="G38" s="351"/>
      <c r="H38" s="351"/>
    </row>
    <row r="39" spans="1:8" ht="9.75">
      <c r="A39" s="364"/>
      <c r="B39" s="360"/>
      <c r="C39" s="351"/>
      <c r="D39" s="351"/>
      <c r="E39" s="351"/>
      <c r="F39" s="351"/>
      <c r="G39" s="351"/>
      <c r="H39" s="351"/>
    </row>
    <row r="40" spans="1:8" ht="9.75">
      <c r="A40" s="364"/>
      <c r="B40" s="360"/>
      <c r="C40" s="351"/>
      <c r="D40" s="351"/>
      <c r="E40" s="351"/>
      <c r="F40" s="351"/>
      <c r="G40" s="351"/>
      <c r="H40" s="351"/>
    </row>
    <row r="41" spans="1:8" ht="9.75">
      <c r="A41" s="364"/>
      <c r="B41" s="360"/>
      <c r="C41" s="351"/>
      <c r="D41" s="351"/>
      <c r="E41" s="351"/>
      <c r="F41" s="351"/>
      <c r="G41" s="351"/>
      <c r="H41" s="351"/>
    </row>
    <row r="42" spans="1:8" ht="9.75">
      <c r="A42" s="364"/>
      <c r="B42" s="360"/>
      <c r="C42" s="351"/>
      <c r="D42" s="351"/>
      <c r="E42" s="351"/>
      <c r="F42" s="351"/>
      <c r="G42" s="351"/>
      <c r="H42" s="351"/>
    </row>
    <row r="43" spans="1:8" ht="9.75">
      <c r="A43" s="364"/>
      <c r="B43" s="360"/>
      <c r="C43" s="351"/>
      <c r="D43" s="351"/>
      <c r="E43" s="351"/>
      <c r="F43" s="351"/>
      <c r="G43" s="351"/>
      <c r="H43" s="351"/>
    </row>
    <row r="44" spans="1:8" ht="9.75">
      <c r="A44" s="364"/>
      <c r="B44" s="361"/>
      <c r="C44" s="351"/>
      <c r="D44" s="351"/>
      <c r="E44" s="351"/>
      <c r="F44" s="351"/>
      <c r="G44" s="351"/>
      <c r="H44" s="351"/>
    </row>
    <row r="45" spans="1:8" ht="9.75">
      <c r="A45" s="364"/>
      <c r="B45" s="361"/>
      <c r="C45" s="351"/>
      <c r="D45" s="351"/>
      <c r="E45" s="351"/>
      <c r="F45" s="351"/>
      <c r="G45" s="351"/>
      <c r="H45" s="351"/>
    </row>
    <row r="46" spans="1:8" ht="9.75">
      <c r="A46" s="364"/>
      <c r="B46" s="361"/>
      <c r="C46" s="351"/>
      <c r="D46" s="351"/>
      <c r="E46" s="351"/>
      <c r="F46" s="351"/>
      <c r="G46" s="351"/>
      <c r="H46" s="351"/>
    </row>
    <row r="47" spans="1:8" ht="9.75">
      <c r="A47" s="352"/>
      <c r="B47" s="361"/>
      <c r="C47" s="351"/>
      <c r="D47" s="351"/>
      <c r="E47" s="351"/>
      <c r="F47" s="351"/>
      <c r="G47" s="351"/>
      <c r="H47" s="351"/>
    </row>
    <row r="48" spans="1:8" ht="9.75">
      <c r="A48" s="352"/>
      <c r="B48" s="361"/>
      <c r="C48" s="351"/>
      <c r="D48" s="351"/>
      <c r="E48" s="351"/>
      <c r="F48" s="351"/>
      <c r="G48" s="351"/>
      <c r="H48" s="351"/>
    </row>
    <row r="49" spans="1:8" ht="9.75">
      <c r="A49" s="352"/>
      <c r="B49" s="361"/>
      <c r="C49" s="351"/>
      <c r="D49" s="351"/>
      <c r="E49" s="351"/>
      <c r="F49" s="351"/>
      <c r="G49" s="351"/>
      <c r="H49" s="351"/>
    </row>
    <row r="50" spans="1:8" ht="9.75">
      <c r="A50" s="353"/>
      <c r="B50" s="361"/>
      <c r="C50" s="44"/>
      <c r="D50" s="44"/>
      <c r="E50" s="44"/>
      <c r="F50" s="44"/>
      <c r="G50" s="44"/>
      <c r="H50" s="44"/>
    </row>
    <row r="51" spans="1:8" ht="9.75">
      <c r="A51" s="152"/>
      <c r="B51" s="152"/>
      <c r="C51" s="152"/>
      <c r="D51" s="152"/>
      <c r="E51" s="152"/>
      <c r="F51" s="152"/>
      <c r="G51" s="63"/>
      <c r="H51" s="63"/>
    </row>
    <row r="52" spans="1:8" ht="9.75">
      <c r="A52" s="152"/>
      <c r="B52" s="152"/>
      <c r="C52" s="152"/>
      <c r="D52" s="152"/>
      <c r="E52" s="152"/>
      <c r="F52" s="152"/>
      <c r="G52" s="63"/>
      <c r="H52" s="63"/>
    </row>
    <row r="53" spans="1:8" ht="9.75">
      <c r="A53" s="347" t="s">
        <v>389</v>
      </c>
      <c r="B53" s="152"/>
      <c r="C53" s="63"/>
      <c r="D53" s="63"/>
      <c r="E53" s="63"/>
      <c r="F53" s="63"/>
      <c r="G53" s="211"/>
      <c r="H53" s="211"/>
    </row>
    <row r="54" spans="1:8" ht="9.75">
      <c r="A54" s="573" t="s">
        <v>390</v>
      </c>
      <c r="B54" s="574"/>
      <c r="C54" s="349">
        <f aca="true" t="shared" si="2" ref="C54:H54">+C36</f>
        <v>2017</v>
      </c>
      <c r="D54" s="349">
        <f t="shared" si="2"/>
        <v>2018</v>
      </c>
      <c r="E54" s="349">
        <f t="shared" si="2"/>
        <v>2019</v>
      </c>
      <c r="F54" s="349">
        <f t="shared" si="2"/>
        <v>2020</v>
      </c>
      <c r="G54" s="349">
        <f t="shared" si="2"/>
        <v>2021</v>
      </c>
      <c r="H54" s="349">
        <f t="shared" si="2"/>
        <v>2022</v>
      </c>
    </row>
    <row r="55" spans="1:8" ht="9.75">
      <c r="A55" s="350"/>
      <c r="B55" s="360"/>
      <c r="C55" s="351"/>
      <c r="D55" s="351"/>
      <c r="E55" s="351"/>
      <c r="F55" s="351"/>
      <c r="G55" s="351"/>
      <c r="H55" s="351"/>
    </row>
    <row r="56" spans="1:8" ht="9.75">
      <c r="A56" s="364"/>
      <c r="B56" s="360"/>
      <c r="C56" s="351"/>
      <c r="D56" s="351"/>
      <c r="E56" s="351"/>
      <c r="F56" s="351"/>
      <c r="G56" s="351"/>
      <c r="H56" s="351"/>
    </row>
    <row r="57" spans="1:8" ht="9.75">
      <c r="A57" s="364"/>
      <c r="B57" s="360"/>
      <c r="C57" s="351"/>
      <c r="D57" s="351"/>
      <c r="E57" s="351"/>
      <c r="F57" s="351"/>
      <c r="G57" s="351"/>
      <c r="H57" s="351"/>
    </row>
    <row r="58" spans="1:8" ht="9.75">
      <c r="A58" s="364"/>
      <c r="B58" s="360"/>
      <c r="C58" s="351"/>
      <c r="D58" s="351"/>
      <c r="E58" s="351"/>
      <c r="F58" s="351"/>
      <c r="G58" s="351"/>
      <c r="H58" s="351"/>
    </row>
    <row r="59" spans="1:8" ht="9.75">
      <c r="A59" s="364"/>
      <c r="B59" s="360"/>
      <c r="C59" s="351"/>
      <c r="D59" s="351"/>
      <c r="E59" s="351"/>
      <c r="F59" s="351"/>
      <c r="G59" s="351"/>
      <c r="H59" s="351"/>
    </row>
    <row r="60" spans="1:8" ht="9.75">
      <c r="A60" s="364"/>
      <c r="B60" s="360"/>
      <c r="C60" s="351"/>
      <c r="D60" s="351"/>
      <c r="E60" s="351"/>
      <c r="F60" s="351"/>
      <c r="G60" s="351"/>
      <c r="H60" s="351"/>
    </row>
    <row r="61" spans="1:8" ht="9.75">
      <c r="A61" s="364"/>
      <c r="B61" s="360"/>
      <c r="C61" s="351"/>
      <c r="D61" s="351"/>
      <c r="E61" s="351"/>
      <c r="F61" s="351"/>
      <c r="G61" s="351"/>
      <c r="H61" s="351"/>
    </row>
    <row r="62" spans="1:8" ht="9.75">
      <c r="A62" s="364"/>
      <c r="B62" s="361"/>
      <c r="C62" s="44"/>
      <c r="D62" s="44"/>
      <c r="E62" s="44"/>
      <c r="F62" s="44"/>
      <c r="G62" s="44"/>
      <c r="H62" s="44"/>
    </row>
    <row r="63" spans="1:8" ht="9.75">
      <c r="A63" s="364"/>
      <c r="B63" s="361"/>
      <c r="C63" s="44"/>
      <c r="D63" s="44"/>
      <c r="E63" s="44"/>
      <c r="F63" s="44"/>
      <c r="G63" s="44"/>
      <c r="H63" s="44"/>
    </row>
    <row r="64" spans="1:8" ht="9.75">
      <c r="A64" s="364"/>
      <c r="B64" s="361"/>
      <c r="C64" s="44"/>
      <c r="D64" s="44"/>
      <c r="E64" s="44"/>
      <c r="F64" s="44"/>
      <c r="G64" s="44"/>
      <c r="H64" s="44"/>
    </row>
    <row r="65" spans="1:8" ht="9.75">
      <c r="A65" s="352"/>
      <c r="B65" s="361"/>
      <c r="C65" s="44"/>
      <c r="D65" s="44"/>
      <c r="E65" s="44"/>
      <c r="F65" s="44"/>
      <c r="G65" s="44"/>
      <c r="H65" s="44"/>
    </row>
    <row r="66" spans="1:8" ht="9.75">
      <c r="A66" s="352"/>
      <c r="B66" s="361"/>
      <c r="C66" s="44"/>
      <c r="D66" s="44"/>
      <c r="E66" s="44"/>
      <c r="F66" s="44"/>
      <c r="G66" s="44"/>
      <c r="H66" s="44"/>
    </row>
    <row r="67" spans="1:8" ht="9.75">
      <c r="A67" s="352"/>
      <c r="B67" s="361"/>
      <c r="C67" s="44"/>
      <c r="D67" s="44"/>
      <c r="E67" s="44"/>
      <c r="F67" s="44"/>
      <c r="G67" s="44"/>
      <c r="H67" s="44"/>
    </row>
    <row r="68" spans="1:8" ht="9.75">
      <c r="A68" s="353"/>
      <c r="B68" s="361"/>
      <c r="C68" s="44"/>
      <c r="D68" s="44"/>
      <c r="E68" s="44"/>
      <c r="F68" s="44"/>
      <c r="G68" s="44"/>
      <c r="H68" s="44"/>
    </row>
    <row r="69" spans="1:8" ht="9.75">
      <c r="A69" s="152"/>
      <c r="B69" s="152"/>
      <c r="C69" s="152"/>
      <c r="D69" s="152"/>
      <c r="E69" s="152"/>
      <c r="F69" s="152"/>
      <c r="G69" s="63"/>
      <c r="H69" s="63"/>
    </row>
    <row r="70" spans="1:8" ht="9.75">
      <c r="A70" s="152"/>
      <c r="B70" s="152"/>
      <c r="C70" s="152"/>
      <c r="D70" s="152"/>
      <c r="E70" s="152"/>
      <c r="F70" s="152"/>
      <c r="G70" s="63"/>
      <c r="H70" s="63"/>
    </row>
    <row r="71" spans="1:8" ht="9.75">
      <c r="A71" s="347" t="s">
        <v>391</v>
      </c>
      <c r="B71" s="152"/>
      <c r="C71" s="63"/>
      <c r="D71" s="63"/>
      <c r="E71" s="63"/>
      <c r="F71" s="63"/>
      <c r="G71" s="211"/>
      <c r="H71" s="211"/>
    </row>
    <row r="72" spans="1:8" ht="9.75">
      <c r="A72" s="573" t="s">
        <v>390</v>
      </c>
      <c r="B72" s="574"/>
      <c r="C72" s="349">
        <f aca="true" t="shared" si="3" ref="C72:H72">+C25</f>
        <v>2017</v>
      </c>
      <c r="D72" s="349">
        <f t="shared" si="3"/>
        <v>2018</v>
      </c>
      <c r="E72" s="349">
        <f t="shared" si="3"/>
        <v>2019</v>
      </c>
      <c r="F72" s="349">
        <f t="shared" si="3"/>
        <v>2020</v>
      </c>
      <c r="G72" s="349">
        <f t="shared" si="3"/>
        <v>2021</v>
      </c>
      <c r="H72" s="349">
        <f t="shared" si="3"/>
        <v>2022</v>
      </c>
    </row>
    <row r="73" spans="1:8" ht="9.75">
      <c r="A73" s="350"/>
      <c r="B73" s="360"/>
      <c r="C73" s="351">
        <f aca="true" t="shared" si="4" ref="C73:H73">+C37*C55</f>
        <v>0</v>
      </c>
      <c r="D73" s="351">
        <f t="shared" si="4"/>
        <v>0</v>
      </c>
      <c r="E73" s="351">
        <f t="shared" si="4"/>
        <v>0</v>
      </c>
      <c r="F73" s="351">
        <f t="shared" si="4"/>
        <v>0</v>
      </c>
      <c r="G73" s="351">
        <f t="shared" si="4"/>
        <v>0</v>
      </c>
      <c r="H73" s="351">
        <f t="shared" si="4"/>
        <v>0</v>
      </c>
    </row>
    <row r="74" spans="1:8" ht="9.75">
      <c r="A74" s="364"/>
      <c r="B74" s="360"/>
      <c r="C74" s="351">
        <f aca="true" t="shared" si="5" ref="C74:H86">+C38*C56</f>
        <v>0</v>
      </c>
      <c r="D74" s="351">
        <f t="shared" si="5"/>
        <v>0</v>
      </c>
      <c r="E74" s="351">
        <f t="shared" si="5"/>
        <v>0</v>
      </c>
      <c r="F74" s="351">
        <f t="shared" si="5"/>
        <v>0</v>
      </c>
      <c r="G74" s="351">
        <f t="shared" si="5"/>
        <v>0</v>
      </c>
      <c r="H74" s="351">
        <f t="shared" si="5"/>
        <v>0</v>
      </c>
    </row>
    <row r="75" spans="1:8" ht="9.75">
      <c r="A75" s="364"/>
      <c r="B75" s="360"/>
      <c r="C75" s="351">
        <f t="shared" si="5"/>
        <v>0</v>
      </c>
      <c r="D75" s="351">
        <f t="shared" si="5"/>
        <v>0</v>
      </c>
      <c r="E75" s="351">
        <f t="shared" si="5"/>
        <v>0</v>
      </c>
      <c r="F75" s="351">
        <f t="shared" si="5"/>
        <v>0</v>
      </c>
      <c r="G75" s="351">
        <f t="shared" si="5"/>
        <v>0</v>
      </c>
      <c r="H75" s="351">
        <f t="shared" si="5"/>
        <v>0</v>
      </c>
    </row>
    <row r="76" spans="1:8" ht="9.75">
      <c r="A76" s="364"/>
      <c r="B76" s="360"/>
      <c r="C76" s="351">
        <f t="shared" si="5"/>
        <v>0</v>
      </c>
      <c r="D76" s="351">
        <f t="shared" si="5"/>
        <v>0</v>
      </c>
      <c r="E76" s="351">
        <f t="shared" si="5"/>
        <v>0</v>
      </c>
      <c r="F76" s="351">
        <f t="shared" si="5"/>
        <v>0</v>
      </c>
      <c r="G76" s="351">
        <f t="shared" si="5"/>
        <v>0</v>
      </c>
      <c r="H76" s="351">
        <f t="shared" si="5"/>
        <v>0</v>
      </c>
    </row>
    <row r="77" spans="1:8" ht="9.75">
      <c r="A77" s="364"/>
      <c r="B77" s="360"/>
      <c r="C77" s="351">
        <f t="shared" si="5"/>
        <v>0</v>
      </c>
      <c r="D77" s="351">
        <f t="shared" si="5"/>
        <v>0</v>
      </c>
      <c r="E77" s="351">
        <f t="shared" si="5"/>
        <v>0</v>
      </c>
      <c r="F77" s="351">
        <f t="shared" si="5"/>
        <v>0</v>
      </c>
      <c r="G77" s="351">
        <f t="shared" si="5"/>
        <v>0</v>
      </c>
      <c r="H77" s="351">
        <f t="shared" si="5"/>
        <v>0</v>
      </c>
    </row>
    <row r="78" spans="1:8" ht="9.75">
      <c r="A78" s="364"/>
      <c r="B78" s="360"/>
      <c r="C78" s="351">
        <f t="shared" si="5"/>
        <v>0</v>
      </c>
      <c r="D78" s="351">
        <f t="shared" si="5"/>
        <v>0</v>
      </c>
      <c r="E78" s="351">
        <f t="shared" si="5"/>
        <v>0</v>
      </c>
      <c r="F78" s="351">
        <f t="shared" si="5"/>
        <v>0</v>
      </c>
      <c r="G78" s="351">
        <f t="shared" si="5"/>
        <v>0</v>
      </c>
      <c r="H78" s="351">
        <f t="shared" si="5"/>
        <v>0</v>
      </c>
    </row>
    <row r="79" spans="1:8" ht="9.75">
      <c r="A79" s="364"/>
      <c r="B79" s="360"/>
      <c r="C79" s="351">
        <f t="shared" si="5"/>
        <v>0</v>
      </c>
      <c r="D79" s="351">
        <f t="shared" si="5"/>
        <v>0</v>
      </c>
      <c r="E79" s="351">
        <f t="shared" si="5"/>
        <v>0</v>
      </c>
      <c r="F79" s="351">
        <f t="shared" si="5"/>
        <v>0</v>
      </c>
      <c r="G79" s="351">
        <f t="shared" si="5"/>
        <v>0</v>
      </c>
      <c r="H79" s="351">
        <f t="shared" si="5"/>
        <v>0</v>
      </c>
    </row>
    <row r="80" spans="1:8" ht="9.75">
      <c r="A80" s="364"/>
      <c r="B80" s="361"/>
      <c r="C80" s="351">
        <f t="shared" si="5"/>
        <v>0</v>
      </c>
      <c r="D80" s="351">
        <f t="shared" si="5"/>
        <v>0</v>
      </c>
      <c r="E80" s="351">
        <f t="shared" si="5"/>
        <v>0</v>
      </c>
      <c r="F80" s="351">
        <f t="shared" si="5"/>
        <v>0</v>
      </c>
      <c r="G80" s="351">
        <f t="shared" si="5"/>
        <v>0</v>
      </c>
      <c r="H80" s="351">
        <f t="shared" si="5"/>
        <v>0</v>
      </c>
    </row>
    <row r="81" spans="1:8" ht="9.75">
      <c r="A81" s="364"/>
      <c r="B81" s="361"/>
      <c r="C81" s="351">
        <f t="shared" si="5"/>
        <v>0</v>
      </c>
      <c r="D81" s="351">
        <f t="shared" si="5"/>
        <v>0</v>
      </c>
      <c r="E81" s="351">
        <f t="shared" si="5"/>
        <v>0</v>
      </c>
      <c r="F81" s="351">
        <f t="shared" si="5"/>
        <v>0</v>
      </c>
      <c r="G81" s="351">
        <f t="shared" si="5"/>
        <v>0</v>
      </c>
      <c r="H81" s="351">
        <f t="shared" si="5"/>
        <v>0</v>
      </c>
    </row>
    <row r="82" spans="1:8" ht="9.75">
      <c r="A82" s="364"/>
      <c r="B82" s="361"/>
      <c r="C82" s="351">
        <f t="shared" si="5"/>
        <v>0</v>
      </c>
      <c r="D82" s="351">
        <f t="shared" si="5"/>
        <v>0</v>
      </c>
      <c r="E82" s="351">
        <f t="shared" si="5"/>
        <v>0</v>
      </c>
      <c r="F82" s="351">
        <f t="shared" si="5"/>
        <v>0</v>
      </c>
      <c r="G82" s="351">
        <f t="shared" si="5"/>
        <v>0</v>
      </c>
      <c r="H82" s="351">
        <f t="shared" si="5"/>
        <v>0</v>
      </c>
    </row>
    <row r="83" spans="1:8" ht="9.75">
      <c r="A83" s="352"/>
      <c r="B83" s="361"/>
      <c r="C83" s="351">
        <f t="shared" si="5"/>
        <v>0</v>
      </c>
      <c r="D83" s="351">
        <f t="shared" si="5"/>
        <v>0</v>
      </c>
      <c r="E83" s="351">
        <f t="shared" si="5"/>
        <v>0</v>
      </c>
      <c r="F83" s="351">
        <f t="shared" si="5"/>
        <v>0</v>
      </c>
      <c r="G83" s="351">
        <f t="shared" si="5"/>
        <v>0</v>
      </c>
      <c r="H83" s="351">
        <f t="shared" si="5"/>
        <v>0</v>
      </c>
    </row>
    <row r="84" spans="1:8" ht="9.75">
      <c r="A84" s="352"/>
      <c r="B84" s="361"/>
      <c r="C84" s="351">
        <f t="shared" si="5"/>
        <v>0</v>
      </c>
      <c r="D84" s="351">
        <f t="shared" si="5"/>
        <v>0</v>
      </c>
      <c r="E84" s="351">
        <f t="shared" si="5"/>
        <v>0</v>
      </c>
      <c r="F84" s="351">
        <f t="shared" si="5"/>
        <v>0</v>
      </c>
      <c r="G84" s="351">
        <f t="shared" si="5"/>
        <v>0</v>
      </c>
      <c r="H84" s="351">
        <f t="shared" si="5"/>
        <v>0</v>
      </c>
    </row>
    <row r="85" spans="1:8" ht="9.75">
      <c r="A85" s="352"/>
      <c r="B85" s="361"/>
      <c r="C85" s="351">
        <f t="shared" si="5"/>
        <v>0</v>
      </c>
      <c r="D85" s="351">
        <f t="shared" si="5"/>
        <v>0</v>
      </c>
      <c r="E85" s="351">
        <f t="shared" si="5"/>
        <v>0</v>
      </c>
      <c r="F85" s="351">
        <f t="shared" si="5"/>
        <v>0</v>
      </c>
      <c r="G85" s="351">
        <f t="shared" si="5"/>
        <v>0</v>
      </c>
      <c r="H85" s="351">
        <f t="shared" si="5"/>
        <v>0</v>
      </c>
    </row>
    <row r="86" spans="1:8" ht="9.75">
      <c r="A86" s="353"/>
      <c r="B86" s="361"/>
      <c r="C86" s="351">
        <f t="shared" si="5"/>
        <v>0</v>
      </c>
      <c r="D86" s="351">
        <f t="shared" si="5"/>
        <v>0</v>
      </c>
      <c r="E86" s="351">
        <f t="shared" si="5"/>
        <v>0</v>
      </c>
      <c r="F86" s="351">
        <f t="shared" si="5"/>
        <v>0</v>
      </c>
      <c r="G86" s="351">
        <f t="shared" si="5"/>
        <v>0</v>
      </c>
      <c r="H86" s="351">
        <f t="shared" si="5"/>
        <v>0</v>
      </c>
    </row>
    <row r="87" spans="1:8" ht="9.75">
      <c r="A87" s="573" t="s">
        <v>46</v>
      </c>
      <c r="B87" s="574"/>
      <c r="C87" s="362">
        <f aca="true" t="shared" si="6" ref="C87:H87">+SUM(C73:C86)</f>
        <v>0</v>
      </c>
      <c r="D87" s="362">
        <f t="shared" si="6"/>
        <v>0</v>
      </c>
      <c r="E87" s="362">
        <f t="shared" si="6"/>
        <v>0</v>
      </c>
      <c r="F87" s="362">
        <f t="shared" si="6"/>
        <v>0</v>
      </c>
      <c r="G87" s="362">
        <f t="shared" si="6"/>
        <v>0</v>
      </c>
      <c r="H87" s="362">
        <f t="shared" si="6"/>
        <v>0</v>
      </c>
    </row>
    <row r="88" spans="1:8" ht="9.75">
      <c r="A88" s="63"/>
      <c r="B88" s="63"/>
      <c r="C88" s="63"/>
      <c r="D88" s="63"/>
      <c r="E88" s="63"/>
      <c r="F88" s="63"/>
      <c r="G88" s="63"/>
      <c r="H88" s="63"/>
    </row>
    <row r="89" spans="1:8" ht="9.75">
      <c r="A89" s="63"/>
      <c r="B89" s="63"/>
      <c r="C89" s="63"/>
      <c r="D89" s="63"/>
      <c r="E89" s="63"/>
      <c r="F89" s="63"/>
      <c r="G89" s="63"/>
      <c r="H89" s="63"/>
    </row>
    <row r="90" spans="1:8" ht="9.75">
      <c r="A90" s="168" t="s">
        <v>392</v>
      </c>
      <c r="B90" s="63"/>
      <c r="C90" s="63"/>
      <c r="D90" s="63"/>
      <c r="E90" s="63"/>
      <c r="F90" s="63"/>
      <c r="G90" s="63"/>
      <c r="H90" s="63"/>
    </row>
    <row r="91" spans="1:8" ht="9.75">
      <c r="A91" s="168" t="s">
        <v>393</v>
      </c>
      <c r="B91" s="63"/>
      <c r="C91" s="63"/>
      <c r="D91" s="63"/>
      <c r="E91" s="63"/>
      <c r="F91" s="63"/>
      <c r="G91" s="63"/>
      <c r="H91" s="63"/>
    </row>
  </sheetData>
  <sheetProtection/>
  <mergeCells count="6">
    <mergeCell ref="A72:B72"/>
    <mergeCell ref="A87:B87"/>
    <mergeCell ref="A4:H4"/>
    <mergeCell ref="A33:B33"/>
    <mergeCell ref="A36:B36"/>
    <mergeCell ref="A54:B54"/>
  </mergeCells>
  <printOptions horizontalCentered="1"/>
  <pageMargins left="0.75" right="0.75" top="0.3937007874015748" bottom="0.3937007874015748" header="0.5118110236220472" footer="0.3937007874015748"/>
  <pageSetup fitToHeight="1" fitToWidth="1" horizontalDpi="600" verticalDpi="600" orientation="portrait" paperSize="9" scale="66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lha7"/>
  <dimension ref="A1:A1"/>
  <sheetViews>
    <sheetView workbookViewId="0" topLeftCell="A1">
      <selection activeCell="N25" sqref="N25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">
    <pageSetUpPr fitToPage="1"/>
  </sheetPr>
  <dimension ref="B1:C49"/>
  <sheetViews>
    <sheetView showGridLines="0" zoomScale="125" zoomScaleNormal="125" workbookViewId="0" topLeftCell="B9">
      <selection activeCell="C22" sqref="C22"/>
    </sheetView>
  </sheetViews>
  <sheetFormatPr defaultColWidth="9.140625" defaultRowHeight="12.75"/>
  <cols>
    <col min="1" max="1" width="3.7109375" style="14" customWidth="1"/>
    <col min="2" max="2" width="9.140625" style="14" customWidth="1"/>
    <col min="3" max="3" width="88.421875" style="14" customWidth="1"/>
    <col min="4" max="16384" width="9.140625" style="14" customWidth="1"/>
  </cols>
  <sheetData>
    <row r="1" spans="2:3" ht="12.75">
      <c r="B1" s="13"/>
      <c r="C1" s="480" t="s">
        <v>452</v>
      </c>
    </row>
    <row r="2" spans="2:3" ht="12.75">
      <c r="B2" s="13"/>
      <c r="C2" s="481"/>
    </row>
    <row r="3" spans="2:3" ht="12.75">
      <c r="B3" s="13"/>
      <c r="C3" s="481"/>
    </row>
    <row r="4" spans="2:3" ht="15.75">
      <c r="B4" s="483" t="s">
        <v>187</v>
      </c>
      <c r="C4" s="483"/>
    </row>
    <row r="5" spans="2:3" ht="12">
      <c r="B5" s="13"/>
      <c r="C5" s="13"/>
    </row>
    <row r="6" spans="2:3" s="442" customFormat="1" ht="13.5" customHeight="1">
      <c r="B6" s="485" t="s">
        <v>237</v>
      </c>
      <c r="C6" s="485"/>
    </row>
    <row r="7" spans="2:3" s="442" customFormat="1" ht="27" customHeight="1">
      <c r="B7" s="485"/>
      <c r="C7" s="485"/>
    </row>
    <row r="8" spans="2:3" s="442" customFormat="1" ht="36" customHeight="1">
      <c r="B8" s="485"/>
      <c r="C8" s="485"/>
    </row>
    <row r="9" spans="2:3" ht="12">
      <c r="B9" s="13"/>
      <c r="C9" s="13"/>
    </row>
    <row r="10" spans="2:3" ht="12">
      <c r="B10" s="15" t="s">
        <v>137</v>
      </c>
      <c r="C10" s="13"/>
    </row>
    <row r="11" spans="2:3" ht="8.25" customHeight="1">
      <c r="B11" s="15"/>
      <c r="C11" s="13"/>
    </row>
    <row r="12" spans="2:3" ht="12.75">
      <c r="B12" s="484" t="s">
        <v>136</v>
      </c>
      <c r="C12" s="484"/>
    </row>
    <row r="13" spans="2:3" ht="12.75">
      <c r="B13" s="484" t="s">
        <v>186</v>
      </c>
      <c r="C13" s="484"/>
    </row>
    <row r="14" spans="2:3" ht="12.75" customHeight="1">
      <c r="B14" s="482" t="s">
        <v>172</v>
      </c>
      <c r="C14" s="482"/>
    </row>
    <row r="15" spans="2:3" ht="12.75" customHeight="1">
      <c r="B15" s="482" t="s">
        <v>170</v>
      </c>
      <c r="C15" s="482"/>
    </row>
    <row r="16" spans="2:3" ht="8.25" customHeight="1">
      <c r="B16" s="15"/>
      <c r="C16" s="13"/>
    </row>
    <row r="17" spans="2:3" ht="12">
      <c r="B17" s="10" t="s">
        <v>135</v>
      </c>
      <c r="C17" s="16"/>
    </row>
    <row r="18" spans="2:3" ht="12">
      <c r="B18" s="10"/>
      <c r="C18" s="16"/>
    </row>
    <row r="19" spans="2:3" ht="40.5" customHeight="1">
      <c r="B19" s="19">
        <v>1</v>
      </c>
      <c r="C19" s="17" t="s">
        <v>240</v>
      </c>
    </row>
    <row r="20" spans="2:3" ht="8.25" customHeight="1">
      <c r="B20" s="15"/>
      <c r="C20" s="13"/>
    </row>
    <row r="21" spans="2:3" ht="22.5" customHeight="1">
      <c r="B21" s="19">
        <v>2</v>
      </c>
      <c r="C21" s="17" t="s">
        <v>213</v>
      </c>
    </row>
    <row r="22" spans="2:3" ht="6" customHeight="1">
      <c r="B22" s="10"/>
      <c r="C22" s="16"/>
    </row>
    <row r="23" spans="2:3" ht="40.5" customHeight="1">
      <c r="B23" s="19">
        <v>3</v>
      </c>
      <c r="C23" s="17" t="s">
        <v>241</v>
      </c>
    </row>
    <row r="24" spans="2:3" ht="6" customHeight="1">
      <c r="B24" s="11"/>
      <c r="C24" s="11"/>
    </row>
    <row r="25" spans="2:3" ht="25.5" customHeight="1">
      <c r="B25" s="19">
        <v>4</v>
      </c>
      <c r="C25" s="17" t="s">
        <v>138</v>
      </c>
    </row>
    <row r="26" spans="2:3" ht="6" customHeight="1">
      <c r="B26" s="11"/>
      <c r="C26" s="11"/>
    </row>
    <row r="27" spans="2:3" ht="25.5" customHeight="1">
      <c r="B27" s="19">
        <v>5</v>
      </c>
      <c r="C27" s="17" t="s">
        <v>139</v>
      </c>
    </row>
    <row r="28" spans="2:3" ht="6" customHeight="1">
      <c r="B28" s="11"/>
      <c r="C28" s="11"/>
    </row>
    <row r="29" spans="2:3" ht="25.5" customHeight="1">
      <c r="B29" s="19">
        <v>6</v>
      </c>
      <c r="C29" s="17" t="s">
        <v>325</v>
      </c>
    </row>
    <row r="30" spans="2:3" ht="6" customHeight="1">
      <c r="B30" s="12"/>
      <c r="C30" s="13"/>
    </row>
    <row r="31" spans="2:3" ht="25.5" customHeight="1">
      <c r="B31" s="19">
        <v>7</v>
      </c>
      <c r="C31" s="17" t="s">
        <v>140</v>
      </c>
    </row>
    <row r="32" spans="2:3" ht="6" customHeight="1">
      <c r="B32" s="13"/>
      <c r="C32" s="13"/>
    </row>
    <row r="33" spans="2:3" ht="25.5" customHeight="1">
      <c r="B33" s="19">
        <v>8</v>
      </c>
      <c r="C33" s="17" t="s">
        <v>188</v>
      </c>
    </row>
    <row r="34" spans="2:3" ht="6" customHeight="1">
      <c r="B34" s="13"/>
      <c r="C34" s="13"/>
    </row>
    <row r="35" spans="2:3" ht="40.5" customHeight="1">
      <c r="B35" s="19">
        <v>9</v>
      </c>
      <c r="C35" s="18" t="s">
        <v>242</v>
      </c>
    </row>
    <row r="36" spans="2:3" ht="6" customHeight="1">
      <c r="B36" s="13"/>
      <c r="C36" s="13"/>
    </row>
    <row r="37" spans="2:3" ht="25.5" customHeight="1">
      <c r="B37" s="19">
        <v>10</v>
      </c>
      <c r="C37" s="17" t="s">
        <v>239</v>
      </c>
    </row>
    <row r="38" spans="2:3" ht="6" customHeight="1">
      <c r="B38" s="13"/>
      <c r="C38" s="13"/>
    </row>
    <row r="39" spans="2:3" ht="57" customHeight="1">
      <c r="B39" s="19">
        <v>11</v>
      </c>
      <c r="C39" s="18" t="s">
        <v>445</v>
      </c>
    </row>
    <row r="40" spans="2:3" ht="6" customHeight="1">
      <c r="B40" s="13"/>
      <c r="C40" s="13"/>
    </row>
    <row r="41" spans="2:3" ht="25.5" customHeight="1">
      <c r="B41" s="19">
        <v>12</v>
      </c>
      <c r="C41" s="17" t="s">
        <v>446</v>
      </c>
    </row>
    <row r="42" spans="2:3" ht="6" customHeight="1">
      <c r="B42" s="13"/>
      <c r="C42" s="13"/>
    </row>
    <row r="43" spans="2:3" ht="60">
      <c r="B43" s="19">
        <v>13</v>
      </c>
      <c r="C43" s="18" t="s">
        <v>447</v>
      </c>
    </row>
    <row r="44" spans="2:3" ht="6" customHeight="1">
      <c r="B44" s="13"/>
      <c r="C44" s="13"/>
    </row>
    <row r="45" spans="2:3" ht="12">
      <c r="B45" s="19">
        <v>14</v>
      </c>
      <c r="C45" s="18" t="s">
        <v>448</v>
      </c>
    </row>
    <row r="46" spans="2:3" ht="6" customHeight="1">
      <c r="B46" s="13"/>
      <c r="C46" s="13"/>
    </row>
    <row r="47" spans="2:3" ht="24">
      <c r="B47" s="19">
        <v>15</v>
      </c>
      <c r="C47" s="18" t="s">
        <v>451</v>
      </c>
    </row>
    <row r="48" spans="2:3" ht="6" customHeight="1">
      <c r="B48" s="13"/>
      <c r="C48" s="13"/>
    </row>
    <row r="49" spans="2:3" ht="24">
      <c r="B49" s="19" t="s">
        <v>399</v>
      </c>
      <c r="C49" s="18" t="s">
        <v>400</v>
      </c>
    </row>
  </sheetData>
  <sheetProtection password="8318" sheet="1" objects="1" scenarios="1"/>
  <mergeCells count="7">
    <mergeCell ref="C1:C3"/>
    <mergeCell ref="B14:C14"/>
    <mergeCell ref="B15:C15"/>
    <mergeCell ref="B4:C4"/>
    <mergeCell ref="B12:C12"/>
    <mergeCell ref="B13:C13"/>
    <mergeCell ref="B6:C8"/>
  </mergeCells>
  <printOptions horizontalCentered="1"/>
  <pageMargins left="0.75" right="0.75" top="0.5905511811023623" bottom="0.5905511811023623" header="0.5118110236220472" footer="0.5118110236220472"/>
  <pageSetup fitToHeight="1" fitToWidth="1" horizontalDpi="600" verticalDpi="600" orientation="portrait" paperSize="9" scale="94"/>
  <headerFooter alignWithMargins="0">
    <oddFooter>&amp;C&amp;"Arial,Normal"&amp;8IAPMEI&amp;R&amp;"Arial,Normal"&amp;8&amp;P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61"/>
  <sheetViews>
    <sheetView showGridLines="0" zoomScale="150" zoomScaleNormal="150" workbookViewId="0" topLeftCell="A2">
      <selection activeCell="B20" sqref="B20"/>
    </sheetView>
  </sheetViews>
  <sheetFormatPr defaultColWidth="8.7109375" defaultRowHeight="12.75"/>
  <cols>
    <col min="1" max="1" width="34.28125" style="20" bestFit="1" customWidth="1"/>
    <col min="2" max="2" width="12.28125" style="454" customWidth="1"/>
    <col min="3" max="3" width="15.7109375" style="20" customWidth="1"/>
    <col min="4" max="4" width="16.421875" style="20" customWidth="1"/>
    <col min="5" max="5" width="13.7109375" style="20" customWidth="1"/>
    <col min="6" max="16384" width="8.7109375" style="20" customWidth="1"/>
  </cols>
  <sheetData>
    <row r="1" spans="1:5" ht="12.75">
      <c r="A1" s="26"/>
      <c r="B1" s="443"/>
      <c r="C1" s="27"/>
      <c r="D1" s="33" t="s">
        <v>63</v>
      </c>
      <c r="E1" s="283" t="s">
        <v>256</v>
      </c>
    </row>
    <row r="2" spans="1:5" ht="12.75">
      <c r="A2" s="5"/>
      <c r="B2" s="444"/>
      <c r="C2" s="5"/>
      <c r="D2" s="5"/>
      <c r="E2" s="5"/>
    </row>
    <row r="3" spans="1:5" ht="12.75">
      <c r="A3" s="5"/>
      <c r="B3" s="444"/>
      <c r="C3" s="5"/>
      <c r="D3" s="5"/>
      <c r="E3" s="5"/>
    </row>
    <row r="4" spans="1:5" ht="15.75">
      <c r="A4" s="486" t="s">
        <v>8</v>
      </c>
      <c r="B4" s="486"/>
      <c r="C4" s="486"/>
      <c r="D4" s="486"/>
      <c r="E4" s="486"/>
    </row>
    <row r="5" spans="1:5" ht="9.75">
      <c r="A5" s="5"/>
      <c r="B5" s="444"/>
      <c r="C5" s="5"/>
      <c r="D5" s="5"/>
      <c r="E5" s="1"/>
    </row>
    <row r="6" spans="1:5" ht="15">
      <c r="A6" s="490" t="s">
        <v>214</v>
      </c>
      <c r="B6" s="490"/>
      <c r="C6" s="490"/>
      <c r="D6" s="490"/>
      <c r="E6" s="490"/>
    </row>
    <row r="7" spans="1:5" ht="9.75">
      <c r="A7" s="5"/>
      <c r="B7" s="444"/>
      <c r="C7" s="5"/>
      <c r="D7" s="5"/>
      <c r="E7" s="1"/>
    </row>
    <row r="8" spans="1:5" ht="9.75">
      <c r="A8" s="5"/>
      <c r="B8" s="444"/>
      <c r="C8" s="28"/>
      <c r="D8" s="29"/>
      <c r="E8" s="30"/>
    </row>
    <row r="9" spans="1:5" ht="9.75">
      <c r="A9" s="6" t="s">
        <v>54</v>
      </c>
      <c r="B9" s="445" t="s">
        <v>212</v>
      </c>
      <c r="C9" s="28"/>
      <c r="D9" s="29"/>
      <c r="E9" s="30"/>
    </row>
    <row r="10" spans="1:5" ht="9.75">
      <c r="A10" s="2"/>
      <c r="B10" s="446"/>
      <c r="C10" s="28"/>
      <c r="D10" s="29"/>
      <c r="E10" s="30"/>
    </row>
    <row r="11" spans="1:5" ht="9.75">
      <c r="A11" s="6" t="s">
        <v>425</v>
      </c>
      <c r="B11" s="447">
        <v>2017</v>
      </c>
      <c r="C11" s="424" t="s">
        <v>435</v>
      </c>
      <c r="D11" s="29"/>
      <c r="E11" s="30"/>
    </row>
    <row r="12" spans="1:5" ht="9.75">
      <c r="A12" s="2"/>
      <c r="B12" s="446"/>
      <c r="C12" s="28"/>
      <c r="D12" s="29"/>
      <c r="E12" s="30"/>
    </row>
    <row r="13" spans="1:5" ht="9.75">
      <c r="A13" s="6" t="s">
        <v>174</v>
      </c>
      <c r="B13" s="447">
        <v>30</v>
      </c>
      <c r="C13" s="468">
        <f>+B13/30</f>
        <v>1</v>
      </c>
      <c r="D13" s="502" t="s">
        <v>439</v>
      </c>
      <c r="E13" s="30"/>
    </row>
    <row r="14" spans="1:5" ht="9.75">
      <c r="A14" s="6" t="s">
        <v>175</v>
      </c>
      <c r="B14" s="448">
        <v>30</v>
      </c>
      <c r="C14" s="468">
        <f>+B14/30</f>
        <v>1</v>
      </c>
      <c r="D14" s="502"/>
      <c r="E14" s="30"/>
    </row>
    <row r="15" spans="1:5" ht="9.75">
      <c r="A15" s="6" t="s">
        <v>176</v>
      </c>
      <c r="B15" s="448">
        <v>15</v>
      </c>
      <c r="C15" s="468">
        <f>+B15/30</f>
        <v>0.5</v>
      </c>
      <c r="D15" s="502"/>
      <c r="E15" s="30"/>
    </row>
    <row r="16" spans="1:5" ht="9.75">
      <c r="A16" s="6" t="s">
        <v>458</v>
      </c>
      <c r="B16" s="469"/>
      <c r="C16" s="470">
        <v>4</v>
      </c>
      <c r="D16" s="471" t="s">
        <v>459</v>
      </c>
      <c r="E16" s="30"/>
    </row>
    <row r="17" spans="1:5" ht="9.75">
      <c r="A17" s="2"/>
      <c r="B17" s="446"/>
      <c r="C17" s="28"/>
      <c r="D17" s="29"/>
      <c r="E17" s="30"/>
    </row>
    <row r="18" spans="1:5" ht="9.75">
      <c r="A18" s="6" t="s">
        <v>178</v>
      </c>
      <c r="B18" s="449">
        <v>0.06</v>
      </c>
      <c r="C18" s="501" t="s">
        <v>438</v>
      </c>
      <c r="D18" s="31"/>
      <c r="E18" s="32"/>
    </row>
    <row r="19" spans="1:5" ht="9.75">
      <c r="A19" s="6" t="s">
        <v>179</v>
      </c>
      <c r="B19" s="449">
        <v>0.23</v>
      </c>
      <c r="C19" s="501"/>
      <c r="D19" s="31"/>
      <c r="E19" s="32"/>
    </row>
    <row r="20" spans="1:5" ht="9.75">
      <c r="A20" s="6" t="s">
        <v>107</v>
      </c>
      <c r="B20" s="449">
        <v>0.06</v>
      </c>
      <c r="C20" s="501"/>
      <c r="D20" s="31"/>
      <c r="E20" s="32"/>
    </row>
    <row r="21" spans="1:5" ht="9.75">
      <c r="A21" s="6" t="s">
        <v>108</v>
      </c>
      <c r="B21" s="449">
        <v>0.23</v>
      </c>
      <c r="C21" s="501"/>
      <c r="D21" s="31"/>
      <c r="E21" s="32"/>
    </row>
    <row r="22" spans="1:5" ht="9.75">
      <c r="A22" s="6" t="s">
        <v>243</v>
      </c>
      <c r="B22" s="449">
        <v>0.23</v>
      </c>
      <c r="C22" s="501"/>
      <c r="D22" s="31"/>
      <c r="E22" s="32"/>
    </row>
    <row r="23" spans="1:5" ht="9.75">
      <c r="A23" s="2"/>
      <c r="B23" s="446"/>
      <c r="C23" s="28"/>
      <c r="D23" s="29"/>
      <c r="E23" s="30"/>
    </row>
    <row r="24" spans="1:5" ht="9.75">
      <c r="A24" s="6" t="s">
        <v>369</v>
      </c>
      <c r="B24" s="449">
        <v>0.2375</v>
      </c>
      <c r="C24" s="500" t="s">
        <v>456</v>
      </c>
      <c r="D24" s="29"/>
      <c r="E24" s="30"/>
    </row>
    <row r="25" spans="1:5" ht="9.75">
      <c r="A25" s="6" t="s">
        <v>370</v>
      </c>
      <c r="B25" s="449">
        <v>0.2375</v>
      </c>
      <c r="C25" s="500"/>
      <c r="D25" s="29"/>
      <c r="E25" s="30"/>
    </row>
    <row r="26" spans="1:5" ht="9.75">
      <c r="A26" s="6" t="s">
        <v>371</v>
      </c>
      <c r="B26" s="449">
        <v>0.11</v>
      </c>
      <c r="C26" s="500"/>
      <c r="D26" s="29"/>
      <c r="E26" s="30"/>
    </row>
    <row r="27" spans="1:5" ht="9.75">
      <c r="A27" s="6" t="s">
        <v>372</v>
      </c>
      <c r="B27" s="449">
        <v>0.11</v>
      </c>
      <c r="C27" s="500"/>
      <c r="D27" s="29"/>
      <c r="E27" s="30"/>
    </row>
    <row r="28" spans="1:5" ht="9.75">
      <c r="A28" s="6" t="s">
        <v>86</v>
      </c>
      <c r="B28" s="450">
        <v>0.15</v>
      </c>
      <c r="C28" s="424" t="s">
        <v>437</v>
      </c>
      <c r="D28" s="29"/>
      <c r="E28" s="30"/>
    </row>
    <row r="29" spans="1:5" ht="13.5" customHeight="1">
      <c r="A29" s="6" t="s">
        <v>90</v>
      </c>
      <c r="B29" s="449">
        <v>0.25</v>
      </c>
      <c r="C29" s="424" t="s">
        <v>436</v>
      </c>
      <c r="D29" s="29"/>
      <c r="E29" s="30"/>
    </row>
    <row r="30" spans="1:5" ht="9.75">
      <c r="A30" s="2"/>
      <c r="B30" s="446"/>
      <c r="C30" s="28"/>
      <c r="D30" s="29"/>
      <c r="E30" s="30"/>
    </row>
    <row r="31" spans="1:5" ht="9.75">
      <c r="A31" s="6" t="s">
        <v>235</v>
      </c>
      <c r="B31" s="449"/>
      <c r="C31" s="503" t="s">
        <v>440</v>
      </c>
      <c r="D31" s="29"/>
      <c r="E31" s="30"/>
    </row>
    <row r="32" spans="1:5" ht="9.75">
      <c r="A32" s="6" t="s">
        <v>143</v>
      </c>
      <c r="B32" s="449"/>
      <c r="C32" s="503"/>
      <c r="D32" s="29"/>
      <c r="E32" s="30"/>
    </row>
    <row r="33" spans="1:5" ht="9.75">
      <c r="A33" s="6" t="s">
        <v>246</v>
      </c>
      <c r="B33" s="449"/>
      <c r="C33" s="503"/>
      <c r="D33" s="29"/>
      <c r="E33" s="30"/>
    </row>
    <row r="34" spans="1:5" ht="9.75">
      <c r="A34" s="5"/>
      <c r="B34" s="444"/>
      <c r="C34" s="28"/>
      <c r="D34" s="29"/>
      <c r="E34" s="30"/>
    </row>
    <row r="35" spans="1:5" ht="9.75">
      <c r="A35" s="6" t="s">
        <v>426</v>
      </c>
      <c r="B35" s="451">
        <v>0.0025</v>
      </c>
      <c r="C35" s="487" t="s">
        <v>442</v>
      </c>
      <c r="D35" s="488"/>
      <c r="E35" s="489"/>
    </row>
    <row r="36" spans="1:5" ht="9.75">
      <c r="A36" s="6" t="s">
        <v>433</v>
      </c>
      <c r="B36" s="451">
        <v>0.05</v>
      </c>
      <c r="C36" s="487" t="s">
        <v>443</v>
      </c>
      <c r="D36" s="488"/>
      <c r="E36" s="489"/>
    </row>
    <row r="37" spans="1:5" ht="9.75">
      <c r="A37" s="6" t="s">
        <v>418</v>
      </c>
      <c r="B37" s="451">
        <v>1</v>
      </c>
      <c r="C37" s="487" t="s">
        <v>441</v>
      </c>
      <c r="D37" s="488"/>
      <c r="E37" s="489"/>
    </row>
    <row r="38" spans="1:5" ht="9.75" customHeight="1">
      <c r="A38" s="6" t="s">
        <v>189</v>
      </c>
      <c r="B38" s="452">
        <v>0.0001</v>
      </c>
      <c r="C38" s="491" t="s">
        <v>434</v>
      </c>
      <c r="D38" s="492"/>
      <c r="E38" s="493"/>
    </row>
    <row r="39" spans="1:5" ht="9.75">
      <c r="A39" s="5" t="s">
        <v>427</v>
      </c>
      <c r="B39" s="444"/>
      <c r="C39" s="494"/>
      <c r="D39" s="495"/>
      <c r="E39" s="496"/>
    </row>
    <row r="40" spans="1:5" ht="9.75">
      <c r="A40" s="5"/>
      <c r="B40" s="444"/>
      <c r="C40" s="497"/>
      <c r="D40" s="498"/>
      <c r="E40" s="499"/>
    </row>
    <row r="41" spans="1:5" ht="9.75">
      <c r="A41" s="8" t="s">
        <v>236</v>
      </c>
      <c r="B41" s="444"/>
      <c r="C41" s="28"/>
      <c r="D41" s="29"/>
      <c r="E41" s="30"/>
    </row>
    <row r="42" spans="1:5" ht="9.75">
      <c r="A42" s="5"/>
      <c r="B42" s="444"/>
      <c r="C42" s="28"/>
      <c r="D42" s="29"/>
      <c r="E42" s="30"/>
    </row>
    <row r="43" spans="1:5" ht="9.75">
      <c r="A43" s="4" t="s">
        <v>130</v>
      </c>
      <c r="B43" s="446"/>
      <c r="C43" s="50"/>
      <c r="D43" s="31"/>
      <c r="E43" s="32"/>
    </row>
    <row r="44" spans="1:5" ht="18.75" customHeight="1">
      <c r="A44" s="504" t="s">
        <v>455</v>
      </c>
      <c r="B44" s="504"/>
      <c r="C44" s="504"/>
      <c r="D44" s="504"/>
      <c r="E44" s="504"/>
    </row>
    <row r="45" spans="1:5" ht="18.75" customHeight="1">
      <c r="A45" s="504"/>
      <c r="B45" s="504"/>
      <c r="C45" s="504"/>
      <c r="D45" s="504"/>
      <c r="E45" s="504"/>
    </row>
    <row r="46" spans="1:5" ht="15" customHeight="1">
      <c r="A46" s="504"/>
      <c r="B46" s="504"/>
      <c r="C46" s="504"/>
      <c r="D46" s="504"/>
      <c r="E46" s="504"/>
    </row>
    <row r="47" spans="1:5" ht="16.5" customHeight="1">
      <c r="A47" s="504"/>
      <c r="B47" s="504"/>
      <c r="C47" s="504"/>
      <c r="D47" s="504"/>
      <c r="E47" s="504"/>
    </row>
    <row r="48" spans="1:5" ht="17.25" customHeight="1">
      <c r="A48" s="504"/>
      <c r="B48" s="504"/>
      <c r="C48" s="504"/>
      <c r="D48" s="504"/>
      <c r="E48" s="504"/>
    </row>
    <row r="49" spans="1:5" ht="9.75" customHeight="1">
      <c r="A49" s="467"/>
      <c r="B49" s="467"/>
      <c r="C49" s="467"/>
      <c r="D49" s="467"/>
      <c r="E49" s="467"/>
    </row>
    <row r="50" spans="1:5" ht="9.75">
      <c r="A50" s="4" t="s">
        <v>453</v>
      </c>
      <c r="B50" s="446"/>
      <c r="C50" s="50"/>
      <c r="D50" s="31"/>
      <c r="E50" s="32"/>
    </row>
    <row r="51" spans="1:5" ht="9.75">
      <c r="A51" s="504" t="s">
        <v>454</v>
      </c>
      <c r="B51" s="504"/>
      <c r="C51" s="504"/>
      <c r="D51" s="504"/>
      <c r="E51" s="504"/>
    </row>
    <row r="52" spans="1:5" ht="9.75">
      <c r="A52" s="504"/>
      <c r="B52" s="504"/>
      <c r="C52" s="504"/>
      <c r="D52" s="504"/>
      <c r="E52" s="504"/>
    </row>
    <row r="53" spans="1:5" ht="9.75">
      <c r="A53" s="504"/>
      <c r="B53" s="504"/>
      <c r="C53" s="504"/>
      <c r="D53" s="504"/>
      <c r="E53" s="504"/>
    </row>
    <row r="54" spans="1:18" ht="9.75">
      <c r="A54" s="504"/>
      <c r="B54" s="504"/>
      <c r="C54" s="504"/>
      <c r="D54" s="504"/>
      <c r="E54" s="50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9.75">
      <c r="A55" s="504"/>
      <c r="B55" s="504"/>
      <c r="C55" s="504"/>
      <c r="D55" s="504"/>
      <c r="E55" s="504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9.75">
      <c r="A56" s="21"/>
      <c r="B56" s="453"/>
      <c r="C56" s="21"/>
      <c r="D56" s="24"/>
      <c r="E56" s="2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9.75">
      <c r="A57" s="21"/>
      <c r="B57" s="453"/>
      <c r="C57" s="21"/>
      <c r="D57" s="25"/>
      <c r="E57" s="21"/>
      <c r="F57" s="23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ht="9.75">
      <c r="A58" s="21"/>
      <c r="B58" s="45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ht="9.75">
      <c r="A59" s="21"/>
      <c r="B59" s="45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ht="9.75">
      <c r="A60" s="21"/>
      <c r="B60" s="45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9.75">
      <c r="A61" s="21"/>
      <c r="B61" s="45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</sheetData>
  <sheetProtection password="8318" sheet="1"/>
  <mergeCells count="12">
    <mergeCell ref="A44:E48"/>
    <mergeCell ref="A51:E55"/>
    <mergeCell ref="A4:E4"/>
    <mergeCell ref="C35:E35"/>
    <mergeCell ref="C36:E36"/>
    <mergeCell ref="A6:E6"/>
    <mergeCell ref="C38:E40"/>
    <mergeCell ref="C24:C27"/>
    <mergeCell ref="C18:C22"/>
    <mergeCell ref="D13:D15"/>
    <mergeCell ref="C31:C33"/>
    <mergeCell ref="C37:E37"/>
  </mergeCells>
  <printOptions horizontalCentered="1"/>
  <pageMargins left="0.75" right="0.75" top="0.3937007874015748" bottom="0.3937007874015748" header="0.5118110236220472" footer="0.5118110236220472"/>
  <pageSetup fitToHeight="1" fitToWidth="1" horizontalDpi="300" verticalDpi="300" orientation="portrait" paperSize="9"/>
  <headerFooter alignWithMargins="0">
    <oddFooter>&amp;C&amp;"Arial,Normal"&amp;8IAPMEI&amp;R&amp;"Arial,Normal"&amp;8&amp;N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203"/>
  <sheetViews>
    <sheetView showGridLines="0" zoomScale="150" zoomScaleNormal="150" workbookViewId="0" topLeftCell="A1">
      <selection activeCell="D6" sqref="D6"/>
    </sheetView>
  </sheetViews>
  <sheetFormatPr defaultColWidth="8.7109375" defaultRowHeight="12.75"/>
  <cols>
    <col min="1" max="1" width="37.421875" style="56" customWidth="1"/>
    <col min="2" max="2" width="7.8515625" style="56" customWidth="1"/>
    <col min="3" max="14" width="11.421875" style="56" customWidth="1"/>
    <col min="15" max="16384" width="8.7109375" style="56" customWidth="1"/>
  </cols>
  <sheetData>
    <row r="1" spans="1:8" ht="13.5">
      <c r="A1" s="52"/>
      <c r="B1" s="52"/>
      <c r="C1" s="53"/>
      <c r="D1" s="53"/>
      <c r="E1" s="53"/>
      <c r="F1" s="53"/>
      <c r="G1" s="54" t="s">
        <v>63</v>
      </c>
      <c r="H1" s="55" t="str">
        <f>+Pressupostos!E1</f>
        <v>XPTO, Lda</v>
      </c>
    </row>
    <row r="2" spans="1:8" ht="13.5">
      <c r="A2" s="57" t="s">
        <v>177</v>
      </c>
      <c r="B2" s="53"/>
      <c r="C2" s="53"/>
      <c r="D2" s="53"/>
      <c r="E2" s="53"/>
      <c r="F2" s="53"/>
      <c r="G2" s="53"/>
      <c r="H2" s="58" t="str">
        <f>+Pressupostos!B9</f>
        <v>Euros</v>
      </c>
    </row>
    <row r="3" spans="1:8" ht="13.5">
      <c r="A3" s="57"/>
      <c r="B3" s="53"/>
      <c r="C3" s="53"/>
      <c r="D3" s="53"/>
      <c r="E3" s="53"/>
      <c r="F3" s="53"/>
      <c r="G3" s="53"/>
      <c r="H3" s="58"/>
    </row>
    <row r="4" spans="1:8" ht="15.75">
      <c r="A4" s="511" t="s">
        <v>266</v>
      </c>
      <c r="B4" s="511"/>
      <c r="C4" s="511"/>
      <c r="D4" s="511"/>
      <c r="E4" s="511"/>
      <c r="F4" s="511"/>
      <c r="G4" s="511"/>
      <c r="H4" s="511"/>
    </row>
    <row r="5" spans="1:8" ht="10.5">
      <c r="A5" s="59"/>
      <c r="B5" s="59"/>
      <c r="C5" s="59"/>
      <c r="D5" s="59"/>
      <c r="E5" s="59"/>
      <c r="F5" s="59"/>
      <c r="G5" s="59"/>
      <c r="H5" s="59"/>
    </row>
    <row r="6" spans="1:8" ht="10.5">
      <c r="A6" s="59"/>
      <c r="B6" s="59"/>
      <c r="C6" s="59"/>
      <c r="D6" s="59"/>
      <c r="E6" s="59"/>
      <c r="F6" s="59"/>
      <c r="G6" s="59"/>
      <c r="H6" s="59"/>
    </row>
    <row r="7" spans="1:8" ht="10.5">
      <c r="A7" s="59"/>
      <c r="B7" s="59"/>
      <c r="C7" s="59"/>
      <c r="D7" s="59"/>
      <c r="E7" s="59"/>
      <c r="F7" s="59"/>
      <c r="G7" s="59"/>
      <c r="H7" s="59"/>
    </row>
    <row r="8" spans="1:8" ht="10.5">
      <c r="A8" s="516"/>
      <c r="B8" s="516"/>
      <c r="C8" s="60">
        <f>+Pressupostos!B11</f>
        <v>2017</v>
      </c>
      <c r="D8" s="60">
        <f>+C8+1</f>
        <v>2018</v>
      </c>
      <c r="E8" s="60">
        <f>+D8+1</f>
        <v>2019</v>
      </c>
      <c r="F8" s="60">
        <f>+E8+1</f>
        <v>2020</v>
      </c>
      <c r="G8" s="60">
        <f>+F8+1</f>
        <v>2021</v>
      </c>
      <c r="H8" s="60">
        <f>+G8+1</f>
        <v>2022</v>
      </c>
    </row>
    <row r="9" spans="1:8" ht="10.5">
      <c r="A9" s="61" t="s">
        <v>149</v>
      </c>
      <c r="B9" s="62"/>
      <c r="C9" s="39"/>
      <c r="D9" s="34"/>
      <c r="E9" s="34"/>
      <c r="F9" s="34"/>
      <c r="G9" s="34"/>
      <c r="H9" s="34"/>
    </row>
    <row r="10" spans="1:8" ht="10.5">
      <c r="A10" s="63"/>
      <c r="B10" s="63"/>
      <c r="C10" s="63"/>
      <c r="D10" s="63"/>
      <c r="E10" s="63"/>
      <c r="F10" s="63"/>
      <c r="G10" s="63"/>
      <c r="H10" s="63"/>
    </row>
    <row r="11" spans="1:8" ht="10.5">
      <c r="A11" s="63"/>
      <c r="B11" s="63"/>
      <c r="C11" s="63"/>
      <c r="D11" s="63"/>
      <c r="E11" s="63"/>
      <c r="F11" s="63"/>
      <c r="G11" s="63"/>
      <c r="H11" s="63"/>
    </row>
    <row r="12" spans="1:8" ht="10.5">
      <c r="A12" s="514" t="s">
        <v>180</v>
      </c>
      <c r="B12" s="515"/>
      <c r="C12" s="60">
        <f aca="true" t="shared" si="0" ref="C12:H12">+C8</f>
        <v>2017</v>
      </c>
      <c r="D12" s="60">
        <f t="shared" si="0"/>
        <v>2018</v>
      </c>
      <c r="E12" s="60">
        <f t="shared" si="0"/>
        <v>2019</v>
      </c>
      <c r="F12" s="60">
        <f t="shared" si="0"/>
        <v>2020</v>
      </c>
      <c r="G12" s="60">
        <f t="shared" si="0"/>
        <v>2021</v>
      </c>
      <c r="H12" s="60">
        <f t="shared" si="0"/>
        <v>2022</v>
      </c>
    </row>
    <row r="13" spans="1:8" ht="10.5">
      <c r="A13" s="507" t="s">
        <v>145</v>
      </c>
      <c r="B13" s="508"/>
      <c r="C13" s="286">
        <f aca="true" t="shared" si="1" ref="C13:H13">+C16*C14</f>
        <v>204000</v>
      </c>
      <c r="D13" s="286">
        <f t="shared" si="1"/>
        <v>206040</v>
      </c>
      <c r="E13" s="286">
        <f t="shared" si="1"/>
        <v>208100.40000000002</v>
      </c>
      <c r="F13" s="286">
        <f t="shared" si="1"/>
        <v>210181.404</v>
      </c>
      <c r="G13" s="286">
        <f t="shared" si="1"/>
        <v>212283.21804000004</v>
      </c>
      <c r="H13" s="286">
        <f t="shared" si="1"/>
        <v>214406.05022040004</v>
      </c>
    </row>
    <row r="14" spans="1:8" ht="10.5">
      <c r="A14" s="64" t="s">
        <v>4</v>
      </c>
      <c r="B14" s="65"/>
      <c r="C14" s="287">
        <v>1200</v>
      </c>
      <c r="D14" s="288">
        <f>+C14*(1+D15)</f>
        <v>1212</v>
      </c>
      <c r="E14" s="288">
        <f>+D14*(1+E15)</f>
        <v>1224.1200000000001</v>
      </c>
      <c r="F14" s="288">
        <f>+E14*(1+F15)</f>
        <v>1236.3612</v>
      </c>
      <c r="G14" s="288">
        <f>+F14*(1+G15)</f>
        <v>1248.7248120000002</v>
      </c>
      <c r="H14" s="288">
        <f>+G14*(1+H15)</f>
        <v>1261.2120601200002</v>
      </c>
    </row>
    <row r="15" spans="1:8" ht="10.5">
      <c r="A15" s="64" t="s">
        <v>78</v>
      </c>
      <c r="B15" s="65"/>
      <c r="C15" s="289">
        <v>0.01</v>
      </c>
      <c r="D15" s="290">
        <v>0.01</v>
      </c>
      <c r="E15" s="290">
        <v>0.01</v>
      </c>
      <c r="F15" s="290">
        <v>0.01</v>
      </c>
      <c r="G15" s="290">
        <v>0.01</v>
      </c>
      <c r="H15" s="290">
        <v>0.01</v>
      </c>
    </row>
    <row r="16" spans="1:8" ht="10.5">
      <c r="A16" s="64" t="s">
        <v>5</v>
      </c>
      <c r="B16" s="65"/>
      <c r="C16" s="291">
        <v>170</v>
      </c>
      <c r="D16" s="292">
        <f>+C16*(1+D9)</f>
        <v>170</v>
      </c>
      <c r="E16" s="292">
        <f>+D16*(1+E9)</f>
        <v>170</v>
      </c>
      <c r="F16" s="292">
        <f>+E16*(1+F9)</f>
        <v>170</v>
      </c>
      <c r="G16" s="292">
        <f>+F16*(1+G9)</f>
        <v>170</v>
      </c>
      <c r="H16" s="292">
        <f>+G16*(1+H9)</f>
        <v>170</v>
      </c>
    </row>
    <row r="17" spans="1:8" ht="10.5">
      <c r="A17" s="507" t="s">
        <v>146</v>
      </c>
      <c r="B17" s="508"/>
      <c r="C17" s="286">
        <f aca="true" t="shared" si="2" ref="C17:H17">+C20*C18</f>
        <v>72000</v>
      </c>
      <c r="D17" s="286">
        <f t="shared" si="2"/>
        <v>73440</v>
      </c>
      <c r="E17" s="286">
        <f t="shared" si="2"/>
        <v>74908.8</v>
      </c>
      <c r="F17" s="286">
        <f t="shared" si="2"/>
        <v>76406.97600000001</v>
      </c>
      <c r="G17" s="286">
        <f t="shared" si="2"/>
        <v>77935.11552000002</v>
      </c>
      <c r="H17" s="286">
        <f t="shared" si="2"/>
        <v>79493.81783040002</v>
      </c>
    </row>
    <row r="18" spans="1:8" ht="10.5">
      <c r="A18" s="64" t="s">
        <v>4</v>
      </c>
      <c r="B18" s="65"/>
      <c r="C18" s="287">
        <v>240</v>
      </c>
      <c r="D18" s="288">
        <f>+C18*(1+D19)</f>
        <v>244.8</v>
      </c>
      <c r="E18" s="288">
        <f>+D18*(1+E19)</f>
        <v>249.69600000000003</v>
      </c>
      <c r="F18" s="288">
        <f>+E18*(1+F19)</f>
        <v>254.68992000000003</v>
      </c>
      <c r="G18" s="288">
        <f>+F18*(1+G19)</f>
        <v>259.78371840000005</v>
      </c>
      <c r="H18" s="288">
        <f>+G18*(1+H19)</f>
        <v>264.9793927680001</v>
      </c>
    </row>
    <row r="19" spans="1:8" ht="10.5">
      <c r="A19" s="64" t="s">
        <v>78</v>
      </c>
      <c r="B19" s="65"/>
      <c r="C19" s="289">
        <v>0.02</v>
      </c>
      <c r="D19" s="289">
        <v>0.02</v>
      </c>
      <c r="E19" s="289">
        <v>0.02</v>
      </c>
      <c r="F19" s="289">
        <v>0.02</v>
      </c>
      <c r="G19" s="289">
        <v>0.02</v>
      </c>
      <c r="H19" s="289">
        <v>0.02</v>
      </c>
    </row>
    <row r="20" spans="1:8" ht="10.5">
      <c r="A20" s="64" t="s">
        <v>5</v>
      </c>
      <c r="B20" s="65"/>
      <c r="C20" s="291">
        <v>300</v>
      </c>
      <c r="D20" s="292">
        <f>+C20*(1+D9)</f>
        <v>300</v>
      </c>
      <c r="E20" s="292">
        <f>+D20*(1+E9)</f>
        <v>300</v>
      </c>
      <c r="F20" s="292">
        <f>+E20*(1+F9)</f>
        <v>300</v>
      </c>
      <c r="G20" s="292">
        <f>+F20*(1+G9)</f>
        <v>300</v>
      </c>
      <c r="H20" s="292">
        <f>+G20*(1+H9)</f>
        <v>300</v>
      </c>
    </row>
    <row r="21" spans="1:8" ht="10.5">
      <c r="A21" s="507" t="s">
        <v>147</v>
      </c>
      <c r="B21" s="508"/>
      <c r="C21" s="286">
        <f aca="true" t="shared" si="3" ref="C21:H21">+C24*C22</f>
        <v>0</v>
      </c>
      <c r="D21" s="286">
        <f t="shared" si="3"/>
        <v>0</v>
      </c>
      <c r="E21" s="286">
        <f t="shared" si="3"/>
        <v>0</v>
      </c>
      <c r="F21" s="286">
        <f t="shared" si="3"/>
        <v>0</v>
      </c>
      <c r="G21" s="286">
        <f t="shared" si="3"/>
        <v>0</v>
      </c>
      <c r="H21" s="286">
        <f t="shared" si="3"/>
        <v>0</v>
      </c>
    </row>
    <row r="22" spans="1:8" ht="10.5">
      <c r="A22" s="64" t="s">
        <v>4</v>
      </c>
      <c r="B22" s="65"/>
      <c r="C22" s="287"/>
      <c r="D22" s="288">
        <f>+C22*(1+D23)</f>
        <v>0</v>
      </c>
      <c r="E22" s="288">
        <f>+D22*(1+E23)</f>
        <v>0</v>
      </c>
      <c r="F22" s="288">
        <f>+E22*(1+F23)</f>
        <v>0</v>
      </c>
      <c r="G22" s="288">
        <f>+F22*(1+G23)</f>
        <v>0</v>
      </c>
      <c r="H22" s="288">
        <f>+G22*(1+H23)</f>
        <v>0</v>
      </c>
    </row>
    <row r="23" spans="1:8" ht="10.5">
      <c r="A23" s="64" t="s">
        <v>78</v>
      </c>
      <c r="B23" s="65"/>
      <c r="C23" s="289"/>
      <c r="D23" s="290"/>
      <c r="E23" s="290"/>
      <c r="F23" s="290"/>
      <c r="G23" s="290"/>
      <c r="H23" s="290"/>
    </row>
    <row r="24" spans="1:8" ht="10.5">
      <c r="A24" s="64" t="s">
        <v>5</v>
      </c>
      <c r="B24" s="65"/>
      <c r="C24" s="291"/>
      <c r="D24" s="292">
        <f>+C24*(1+D9)</f>
        <v>0</v>
      </c>
      <c r="E24" s="292">
        <f>+D24*(1+E9)</f>
        <v>0</v>
      </c>
      <c r="F24" s="292">
        <f>+E24*(1+F9)</f>
        <v>0</v>
      </c>
      <c r="G24" s="292">
        <f>+F24*(1+G9)</f>
        <v>0</v>
      </c>
      <c r="H24" s="292">
        <f>+G24*(1+H9)</f>
        <v>0</v>
      </c>
    </row>
    <row r="25" spans="1:8" ht="10.5">
      <c r="A25" s="507" t="s">
        <v>148</v>
      </c>
      <c r="B25" s="508"/>
      <c r="C25" s="286">
        <f aca="true" t="shared" si="4" ref="C25:H25">+C28*C26</f>
        <v>0</v>
      </c>
      <c r="D25" s="286">
        <f t="shared" si="4"/>
        <v>0</v>
      </c>
      <c r="E25" s="286">
        <f t="shared" si="4"/>
        <v>0</v>
      </c>
      <c r="F25" s="286">
        <f t="shared" si="4"/>
        <v>0</v>
      </c>
      <c r="G25" s="286">
        <f t="shared" si="4"/>
        <v>0</v>
      </c>
      <c r="H25" s="286">
        <f t="shared" si="4"/>
        <v>0</v>
      </c>
    </row>
    <row r="26" spans="1:8" ht="10.5">
      <c r="A26" s="64" t="s">
        <v>4</v>
      </c>
      <c r="B26" s="65"/>
      <c r="C26" s="287"/>
      <c r="D26" s="288">
        <f>+C26*(1+D27)</f>
        <v>0</v>
      </c>
      <c r="E26" s="288">
        <f>+D26*(1+E27)</f>
        <v>0</v>
      </c>
      <c r="F26" s="288">
        <f>+E26*(1+F27)</f>
        <v>0</v>
      </c>
      <c r="G26" s="288">
        <f>+F26*(1+G27)</f>
        <v>0</v>
      </c>
      <c r="H26" s="288">
        <f>+G26*(1+H27)</f>
        <v>0</v>
      </c>
    </row>
    <row r="27" spans="1:8" ht="10.5">
      <c r="A27" s="64" t="s">
        <v>78</v>
      </c>
      <c r="B27" s="65"/>
      <c r="C27" s="289"/>
      <c r="D27" s="290"/>
      <c r="E27" s="290"/>
      <c r="F27" s="290"/>
      <c r="G27" s="290"/>
      <c r="H27" s="290"/>
    </row>
    <row r="28" spans="1:8" ht="10.5">
      <c r="A28" s="64" t="s">
        <v>5</v>
      </c>
      <c r="B28" s="65"/>
      <c r="C28" s="291"/>
      <c r="D28" s="292">
        <f>+C28*(1+D9)</f>
        <v>0</v>
      </c>
      <c r="E28" s="292">
        <f>+D28*(1+E9)</f>
        <v>0</v>
      </c>
      <c r="F28" s="292">
        <f>+E28*(1+F9)</f>
        <v>0</v>
      </c>
      <c r="G28" s="292">
        <f>+F28*(1+G9)</f>
        <v>0</v>
      </c>
      <c r="H28" s="292">
        <f>+G28*(1+H9)</f>
        <v>0</v>
      </c>
    </row>
    <row r="29" spans="1:8" ht="12" thickBot="1">
      <c r="A29" s="512" t="s">
        <v>94</v>
      </c>
      <c r="B29" s="513"/>
      <c r="C29" s="40">
        <f aca="true" t="shared" si="5" ref="C29:H29">+C13+C17+C21+C25</f>
        <v>276000</v>
      </c>
      <c r="D29" s="40">
        <f t="shared" si="5"/>
        <v>279480</v>
      </c>
      <c r="E29" s="40">
        <f t="shared" si="5"/>
        <v>283009.2</v>
      </c>
      <c r="F29" s="40">
        <f t="shared" si="5"/>
        <v>286588.38</v>
      </c>
      <c r="G29" s="40">
        <f t="shared" si="5"/>
        <v>290218.33356000006</v>
      </c>
      <c r="H29" s="40">
        <f t="shared" si="5"/>
        <v>293899.86805080005</v>
      </c>
    </row>
    <row r="30" spans="1:8" ht="12" thickTop="1">
      <c r="A30" s="66"/>
      <c r="B30" s="66"/>
      <c r="C30" s="67"/>
      <c r="D30" s="67"/>
      <c r="E30" s="67"/>
      <c r="F30" s="67"/>
      <c r="G30" s="67"/>
      <c r="H30" s="67"/>
    </row>
    <row r="31" spans="1:8" ht="10.5">
      <c r="A31" s="66"/>
      <c r="B31" s="66"/>
      <c r="C31" s="67"/>
      <c r="D31" s="67"/>
      <c r="E31" s="67"/>
      <c r="F31" s="67"/>
      <c r="G31" s="67"/>
      <c r="H31" s="67"/>
    </row>
    <row r="32" spans="1:8" ht="10.5">
      <c r="A32" s="505" t="s">
        <v>181</v>
      </c>
      <c r="B32" s="505"/>
      <c r="C32" s="60">
        <f aca="true" t="shared" si="6" ref="C32:H32">+C8</f>
        <v>2017</v>
      </c>
      <c r="D32" s="60">
        <f t="shared" si="6"/>
        <v>2018</v>
      </c>
      <c r="E32" s="60">
        <f t="shared" si="6"/>
        <v>2019</v>
      </c>
      <c r="F32" s="60">
        <f t="shared" si="6"/>
        <v>2020</v>
      </c>
      <c r="G32" s="60">
        <f t="shared" si="6"/>
        <v>2021</v>
      </c>
      <c r="H32" s="60">
        <f t="shared" si="6"/>
        <v>2022</v>
      </c>
    </row>
    <row r="33" spans="1:8" ht="10.5">
      <c r="A33" s="507" t="s">
        <v>145</v>
      </c>
      <c r="B33" s="508"/>
      <c r="C33" s="286">
        <f aca="true" t="shared" si="7" ref="C33:H33">+C36*C34</f>
        <v>0</v>
      </c>
      <c r="D33" s="286">
        <f t="shared" si="7"/>
        <v>0</v>
      </c>
      <c r="E33" s="286">
        <f t="shared" si="7"/>
        <v>0</v>
      </c>
      <c r="F33" s="286">
        <f t="shared" si="7"/>
        <v>0</v>
      </c>
      <c r="G33" s="286">
        <f t="shared" si="7"/>
        <v>0</v>
      </c>
      <c r="H33" s="286">
        <f t="shared" si="7"/>
        <v>0</v>
      </c>
    </row>
    <row r="34" spans="1:8" ht="10.5">
      <c r="A34" s="64" t="s">
        <v>4</v>
      </c>
      <c r="B34" s="65"/>
      <c r="C34" s="287"/>
      <c r="D34" s="288">
        <f>+C34*(1+D35)</f>
        <v>0</v>
      </c>
      <c r="E34" s="288">
        <f>+D34*(1+E35)</f>
        <v>0</v>
      </c>
      <c r="F34" s="288">
        <f>+E34*(1+F35)</f>
        <v>0</v>
      </c>
      <c r="G34" s="288">
        <f>+F34*(1+G35)</f>
        <v>0</v>
      </c>
      <c r="H34" s="288">
        <f>+G34*(1+H35)</f>
        <v>0</v>
      </c>
    </row>
    <row r="35" spans="1:8" ht="10.5">
      <c r="A35" s="64" t="s">
        <v>78</v>
      </c>
      <c r="B35" s="65"/>
      <c r="C35" s="289"/>
      <c r="D35" s="290"/>
      <c r="E35" s="290"/>
      <c r="F35" s="290"/>
      <c r="G35" s="290"/>
      <c r="H35" s="290"/>
    </row>
    <row r="36" spans="1:8" ht="10.5">
      <c r="A36" s="64" t="s">
        <v>5</v>
      </c>
      <c r="B36" s="65"/>
      <c r="C36" s="291"/>
      <c r="D36" s="292">
        <f>+C36*(1+D9)</f>
        <v>0</v>
      </c>
      <c r="E36" s="292">
        <f>+D36*(1+E9)</f>
        <v>0</v>
      </c>
      <c r="F36" s="292">
        <f>+E36*(1+F9)</f>
        <v>0</v>
      </c>
      <c r="G36" s="292">
        <f>+F36*(1+G9)</f>
        <v>0</v>
      </c>
      <c r="H36" s="292">
        <f>+G36*(1+H9)</f>
        <v>0</v>
      </c>
    </row>
    <row r="37" spans="1:8" ht="10.5">
      <c r="A37" s="507" t="s">
        <v>146</v>
      </c>
      <c r="B37" s="508"/>
      <c r="C37" s="286">
        <f aca="true" t="shared" si="8" ref="C37:H37">+C40*C38</f>
        <v>0</v>
      </c>
      <c r="D37" s="286">
        <f t="shared" si="8"/>
        <v>0</v>
      </c>
      <c r="E37" s="286">
        <f t="shared" si="8"/>
        <v>0</v>
      </c>
      <c r="F37" s="286">
        <f t="shared" si="8"/>
        <v>0</v>
      </c>
      <c r="G37" s="286">
        <f t="shared" si="8"/>
        <v>0</v>
      </c>
      <c r="H37" s="286">
        <f t="shared" si="8"/>
        <v>0</v>
      </c>
    </row>
    <row r="38" spans="1:8" ht="10.5">
      <c r="A38" s="64" t="s">
        <v>4</v>
      </c>
      <c r="B38" s="65"/>
      <c r="C38" s="287"/>
      <c r="D38" s="288">
        <f>+C38*(1+D39)</f>
        <v>0</v>
      </c>
      <c r="E38" s="288">
        <f>+D38*(1+E39)</f>
        <v>0</v>
      </c>
      <c r="F38" s="288">
        <f>+E38*(1+F39)</f>
        <v>0</v>
      </c>
      <c r="G38" s="288">
        <f>+F38*(1+G39)</f>
        <v>0</v>
      </c>
      <c r="H38" s="288">
        <f>+G38*(1+H39)</f>
        <v>0</v>
      </c>
    </row>
    <row r="39" spans="1:8" ht="10.5">
      <c r="A39" s="64" t="s">
        <v>78</v>
      </c>
      <c r="B39" s="65"/>
      <c r="C39" s="289"/>
      <c r="D39" s="290"/>
      <c r="E39" s="290"/>
      <c r="F39" s="290"/>
      <c r="G39" s="290"/>
      <c r="H39" s="290"/>
    </row>
    <row r="40" spans="1:8" ht="10.5">
      <c r="A40" s="64" t="s">
        <v>5</v>
      </c>
      <c r="B40" s="65"/>
      <c r="C40" s="291"/>
      <c r="D40" s="292">
        <f>+C40*(1+D9)</f>
        <v>0</v>
      </c>
      <c r="E40" s="292">
        <f>+D40*(1+E9)</f>
        <v>0</v>
      </c>
      <c r="F40" s="292">
        <f>+E40*(1+F9)</f>
        <v>0</v>
      </c>
      <c r="G40" s="292">
        <f>+F40*(1+G9)</f>
        <v>0</v>
      </c>
      <c r="H40" s="292">
        <f>+G40*(1+H9)</f>
        <v>0</v>
      </c>
    </row>
    <row r="41" spans="1:8" ht="12" thickBot="1">
      <c r="A41" s="506" t="s">
        <v>94</v>
      </c>
      <c r="B41" s="506"/>
      <c r="C41" s="40">
        <f aca="true" t="shared" si="9" ref="C41:H41">+C33+C37</f>
        <v>0</v>
      </c>
      <c r="D41" s="40">
        <f t="shared" si="9"/>
        <v>0</v>
      </c>
      <c r="E41" s="40">
        <f t="shared" si="9"/>
        <v>0</v>
      </c>
      <c r="F41" s="40">
        <f t="shared" si="9"/>
        <v>0</v>
      </c>
      <c r="G41" s="40">
        <f t="shared" si="9"/>
        <v>0</v>
      </c>
      <c r="H41" s="40">
        <f t="shared" si="9"/>
        <v>0</v>
      </c>
    </row>
    <row r="42" spans="1:8" ht="12" thickTop="1">
      <c r="A42" s="69" t="s">
        <v>144</v>
      </c>
      <c r="B42" s="66"/>
      <c r="C42" s="67"/>
      <c r="D42" s="67"/>
      <c r="E42" s="67"/>
      <c r="F42" s="67"/>
      <c r="G42" s="67"/>
      <c r="H42" s="67"/>
    </row>
    <row r="43" spans="1:10" ht="10.5">
      <c r="A43" s="70" t="s">
        <v>151</v>
      </c>
      <c r="B43" s="71"/>
      <c r="C43" s="72"/>
      <c r="D43" s="72"/>
      <c r="E43" s="72"/>
      <c r="F43" s="72"/>
      <c r="G43" s="72"/>
      <c r="H43" s="72"/>
      <c r="I43" s="73"/>
      <c r="J43" s="73"/>
    </row>
    <row r="44" spans="1:10" ht="10.5">
      <c r="A44" s="63"/>
      <c r="B44" s="71"/>
      <c r="C44" s="72"/>
      <c r="D44" s="72"/>
      <c r="E44" s="72"/>
      <c r="F44" s="72"/>
      <c r="G44" s="72"/>
      <c r="H44" s="72"/>
      <c r="I44" s="73"/>
      <c r="J44" s="73"/>
    </row>
    <row r="45" spans="1:10" ht="10.5">
      <c r="A45" s="505" t="s">
        <v>267</v>
      </c>
      <c r="B45" s="505"/>
      <c r="C45" s="60">
        <f aca="true" t="shared" si="10" ref="C45:H45">+C8</f>
        <v>2017</v>
      </c>
      <c r="D45" s="60">
        <f t="shared" si="10"/>
        <v>2018</v>
      </c>
      <c r="E45" s="60">
        <f t="shared" si="10"/>
        <v>2019</v>
      </c>
      <c r="F45" s="60">
        <f t="shared" si="10"/>
        <v>2020</v>
      </c>
      <c r="G45" s="60">
        <f t="shared" si="10"/>
        <v>2021</v>
      </c>
      <c r="H45" s="60">
        <f t="shared" si="10"/>
        <v>2022</v>
      </c>
      <c r="I45" s="73"/>
      <c r="J45" s="73"/>
    </row>
    <row r="46" spans="1:10" ht="10.5">
      <c r="A46" s="507" t="s">
        <v>74</v>
      </c>
      <c r="B46" s="508"/>
      <c r="C46" s="287"/>
      <c r="D46" s="288">
        <f>+C46*(1+D47)</f>
        <v>0</v>
      </c>
      <c r="E46" s="288">
        <f>+D46*(1+E47)</f>
        <v>0</v>
      </c>
      <c r="F46" s="288">
        <f>+E46*(1+F47)</f>
        <v>0</v>
      </c>
      <c r="G46" s="288">
        <f>+F46*(1+G47)</f>
        <v>0</v>
      </c>
      <c r="H46" s="288">
        <f>+G46*(1+H47)</f>
        <v>0</v>
      </c>
      <c r="I46" s="73"/>
      <c r="J46" s="73"/>
    </row>
    <row r="47" spans="1:10" ht="10.5">
      <c r="A47" s="64" t="s">
        <v>238</v>
      </c>
      <c r="B47" s="65"/>
      <c r="C47" s="289"/>
      <c r="D47" s="290"/>
      <c r="E47" s="290"/>
      <c r="F47" s="290"/>
      <c r="G47" s="290"/>
      <c r="H47" s="290"/>
      <c r="I47" s="73"/>
      <c r="J47" s="73"/>
    </row>
    <row r="48" spans="1:10" ht="10.5">
      <c r="A48" s="507" t="s">
        <v>75</v>
      </c>
      <c r="B48" s="508"/>
      <c r="C48" s="287"/>
      <c r="D48" s="288">
        <f>+C48*(1+D49)</f>
        <v>0</v>
      </c>
      <c r="E48" s="288">
        <f>+D48*(1+E49)</f>
        <v>0</v>
      </c>
      <c r="F48" s="288">
        <f>+E48*(1+F49)</f>
        <v>0</v>
      </c>
      <c r="G48" s="288">
        <f>+F48*(1+G49)</f>
        <v>0</v>
      </c>
      <c r="H48" s="288">
        <f>+G48*(1+H49)</f>
        <v>0</v>
      </c>
      <c r="I48" s="73"/>
      <c r="J48" s="73"/>
    </row>
    <row r="49" spans="1:10" ht="10.5">
      <c r="A49" s="64" t="s">
        <v>238</v>
      </c>
      <c r="B49" s="65"/>
      <c r="C49" s="289"/>
      <c r="D49" s="290"/>
      <c r="E49" s="290"/>
      <c r="F49" s="290"/>
      <c r="G49" s="290"/>
      <c r="H49" s="290"/>
      <c r="I49" s="73"/>
      <c r="J49" s="73"/>
    </row>
    <row r="50" spans="1:10" ht="10.5">
      <c r="A50" s="507" t="s">
        <v>76</v>
      </c>
      <c r="B50" s="508"/>
      <c r="C50" s="287"/>
      <c r="D50" s="288">
        <f>+C50*(1+D51)</f>
        <v>0</v>
      </c>
      <c r="E50" s="288">
        <f>+D50*(1+E51)</f>
        <v>0</v>
      </c>
      <c r="F50" s="288">
        <f>+E50*(1+F51)</f>
        <v>0</v>
      </c>
      <c r="G50" s="288">
        <f>+F50*(1+G51)</f>
        <v>0</v>
      </c>
      <c r="H50" s="288">
        <f>+G50*(1+H51)</f>
        <v>0</v>
      </c>
      <c r="I50" s="73"/>
      <c r="J50" s="73"/>
    </row>
    <row r="51" spans="1:10" ht="10.5">
      <c r="A51" s="64" t="s">
        <v>238</v>
      </c>
      <c r="B51" s="65"/>
      <c r="C51" s="289"/>
      <c r="D51" s="290"/>
      <c r="E51" s="290"/>
      <c r="F51" s="290"/>
      <c r="G51" s="290"/>
      <c r="H51" s="290"/>
      <c r="I51" s="73"/>
      <c r="J51" s="73"/>
    </row>
    <row r="52" spans="1:10" ht="10.5">
      <c r="A52" s="507" t="s">
        <v>77</v>
      </c>
      <c r="B52" s="508"/>
      <c r="C52" s="287"/>
      <c r="D52" s="288">
        <f>+C52*(1+D53)</f>
        <v>0</v>
      </c>
      <c r="E52" s="288">
        <f>+D52*(1+E53)</f>
        <v>0</v>
      </c>
      <c r="F52" s="288">
        <f>+E52*(1+F53)</f>
        <v>0</v>
      </c>
      <c r="G52" s="288">
        <f>+F52*(1+G53)</f>
        <v>0</v>
      </c>
      <c r="H52" s="288">
        <f>+G52*(1+H53)</f>
        <v>0</v>
      </c>
      <c r="I52" s="73"/>
      <c r="J52" s="73"/>
    </row>
    <row r="53" spans="1:10" ht="10.5">
      <c r="A53" s="64" t="s">
        <v>238</v>
      </c>
      <c r="B53" s="65"/>
      <c r="C53" s="289"/>
      <c r="D53" s="290"/>
      <c r="E53" s="290"/>
      <c r="F53" s="290"/>
      <c r="G53" s="290"/>
      <c r="H53" s="290"/>
      <c r="I53" s="73"/>
      <c r="J53" s="73"/>
    </row>
    <row r="54" spans="1:8" ht="12" thickBot="1">
      <c r="A54" s="506" t="s">
        <v>94</v>
      </c>
      <c r="B54" s="506"/>
      <c r="C54" s="40">
        <f aca="true" t="shared" si="11" ref="C54:H54">+C46+C48+C50+C52</f>
        <v>0</v>
      </c>
      <c r="D54" s="40">
        <f t="shared" si="11"/>
        <v>0</v>
      </c>
      <c r="E54" s="40">
        <f t="shared" si="11"/>
        <v>0</v>
      </c>
      <c r="F54" s="40">
        <f t="shared" si="11"/>
        <v>0</v>
      </c>
      <c r="G54" s="40">
        <f t="shared" si="11"/>
        <v>0</v>
      </c>
      <c r="H54" s="40">
        <f t="shared" si="11"/>
        <v>0</v>
      </c>
    </row>
    <row r="55" spans="1:10" ht="12" thickTop="1">
      <c r="A55" s="75"/>
      <c r="B55" s="76"/>
      <c r="C55" s="72"/>
      <c r="D55" s="72"/>
      <c r="E55" s="72"/>
      <c r="F55" s="72"/>
      <c r="G55" s="72"/>
      <c r="H55" s="72"/>
      <c r="I55" s="73"/>
      <c r="J55" s="73"/>
    </row>
    <row r="56" spans="1:10" ht="10.5">
      <c r="A56" s="75"/>
      <c r="B56" s="76"/>
      <c r="C56" s="72"/>
      <c r="D56" s="72"/>
      <c r="E56" s="72"/>
      <c r="F56" s="72"/>
      <c r="G56" s="72"/>
      <c r="H56" s="72"/>
      <c r="I56" s="73"/>
      <c r="J56" s="73"/>
    </row>
    <row r="57" spans="1:10" ht="10.5">
      <c r="A57" s="505" t="s">
        <v>268</v>
      </c>
      <c r="B57" s="505"/>
      <c r="C57" s="77">
        <f aca="true" t="shared" si="12" ref="C57:H57">+C8</f>
        <v>2017</v>
      </c>
      <c r="D57" s="77">
        <f t="shared" si="12"/>
        <v>2018</v>
      </c>
      <c r="E57" s="77">
        <f t="shared" si="12"/>
        <v>2019</v>
      </c>
      <c r="F57" s="77">
        <f t="shared" si="12"/>
        <v>2020</v>
      </c>
      <c r="G57" s="77">
        <f t="shared" si="12"/>
        <v>2021</v>
      </c>
      <c r="H57" s="77">
        <f t="shared" si="12"/>
        <v>2022</v>
      </c>
      <c r="I57" s="73"/>
      <c r="J57" s="73"/>
    </row>
    <row r="58" spans="1:10" ht="10.5">
      <c r="A58" s="507" t="s">
        <v>74</v>
      </c>
      <c r="B58" s="508"/>
      <c r="C58" s="287"/>
      <c r="D58" s="288">
        <f>+C58*(1+D59)</f>
        <v>0</v>
      </c>
      <c r="E58" s="288">
        <f>+D58*(1+E59)</f>
        <v>0</v>
      </c>
      <c r="F58" s="288">
        <f>+E58*(1+F59)</f>
        <v>0</v>
      </c>
      <c r="G58" s="288">
        <f>+F58*(1+G59)</f>
        <v>0</v>
      </c>
      <c r="H58" s="288">
        <f>+G58*(1+H59)</f>
        <v>0</v>
      </c>
      <c r="I58" s="73"/>
      <c r="J58" s="73"/>
    </row>
    <row r="59" spans="1:10" ht="10.5">
      <c r="A59" s="64" t="s">
        <v>238</v>
      </c>
      <c r="B59" s="65"/>
      <c r="C59" s="289"/>
      <c r="D59" s="290"/>
      <c r="E59" s="290"/>
      <c r="F59" s="290"/>
      <c r="G59" s="290"/>
      <c r="H59" s="290"/>
      <c r="I59" s="73"/>
      <c r="J59" s="73"/>
    </row>
    <row r="60" spans="1:10" ht="10.5">
      <c r="A60" s="507" t="s">
        <v>75</v>
      </c>
      <c r="B60" s="508"/>
      <c r="C60" s="287"/>
      <c r="D60" s="288">
        <f>+C60*(1+D61)</f>
        <v>0</v>
      </c>
      <c r="E60" s="288">
        <f>+D60*(1+E61)</f>
        <v>0</v>
      </c>
      <c r="F60" s="288">
        <f>+E60*(1+F61)</f>
        <v>0</v>
      </c>
      <c r="G60" s="288">
        <f>+F60*(1+G61)</f>
        <v>0</v>
      </c>
      <c r="H60" s="288">
        <f>+G60*(1+H61)</f>
        <v>0</v>
      </c>
      <c r="I60" s="73"/>
      <c r="J60" s="73"/>
    </row>
    <row r="61" spans="1:10" ht="10.5">
      <c r="A61" s="64" t="s">
        <v>238</v>
      </c>
      <c r="B61" s="65"/>
      <c r="C61" s="289"/>
      <c r="D61" s="290"/>
      <c r="E61" s="290"/>
      <c r="F61" s="290"/>
      <c r="G61" s="290"/>
      <c r="H61" s="290"/>
      <c r="I61" s="73"/>
      <c r="J61" s="73"/>
    </row>
    <row r="62" spans="1:10" ht="10.5">
      <c r="A62" s="507" t="s">
        <v>76</v>
      </c>
      <c r="B62" s="508"/>
      <c r="C62" s="287"/>
      <c r="D62" s="288">
        <f>+C62*(1+D63)</f>
        <v>0</v>
      </c>
      <c r="E62" s="288">
        <f>+D62*(1+E63)</f>
        <v>0</v>
      </c>
      <c r="F62" s="288">
        <f>+E62*(1+F63)</f>
        <v>0</v>
      </c>
      <c r="G62" s="288">
        <f>+F62*(1+G63)</f>
        <v>0</v>
      </c>
      <c r="H62" s="288">
        <f>+G62*(1+H63)</f>
        <v>0</v>
      </c>
      <c r="I62" s="73"/>
      <c r="J62" s="73"/>
    </row>
    <row r="63" spans="1:10" ht="10.5">
      <c r="A63" s="64" t="s">
        <v>238</v>
      </c>
      <c r="B63" s="65"/>
      <c r="C63" s="289"/>
      <c r="D63" s="290"/>
      <c r="E63" s="290"/>
      <c r="F63" s="290"/>
      <c r="G63" s="290"/>
      <c r="H63" s="290"/>
      <c r="I63" s="73"/>
      <c r="J63" s="73"/>
    </row>
    <row r="64" spans="1:10" ht="10.5">
      <c r="A64" s="507" t="s">
        <v>77</v>
      </c>
      <c r="B64" s="508"/>
      <c r="C64" s="287"/>
      <c r="D64" s="288">
        <f>+C64*(1+D65)</f>
        <v>0</v>
      </c>
      <c r="E64" s="288">
        <f>+D64*(1+E65)</f>
        <v>0</v>
      </c>
      <c r="F64" s="288">
        <f>+E64*(1+F65)</f>
        <v>0</v>
      </c>
      <c r="G64" s="288">
        <f>+F64*(1+G65)</f>
        <v>0</v>
      </c>
      <c r="H64" s="288">
        <f>+G64*(1+H65)</f>
        <v>0</v>
      </c>
      <c r="I64" s="73"/>
      <c r="J64" s="73"/>
    </row>
    <row r="65" spans="1:10" ht="10.5">
      <c r="A65" s="64" t="s">
        <v>238</v>
      </c>
      <c r="B65" s="65"/>
      <c r="C65" s="289"/>
      <c r="D65" s="290"/>
      <c r="E65" s="290"/>
      <c r="F65" s="290"/>
      <c r="G65" s="290"/>
      <c r="H65" s="290"/>
      <c r="I65" s="73"/>
      <c r="J65" s="73"/>
    </row>
    <row r="66" spans="1:8" ht="12" thickBot="1">
      <c r="A66" s="506" t="s">
        <v>94</v>
      </c>
      <c r="B66" s="506"/>
      <c r="C66" s="40">
        <f aca="true" t="shared" si="13" ref="C66:H66">+C58+C60+C62+C64</f>
        <v>0</v>
      </c>
      <c r="D66" s="40">
        <f t="shared" si="13"/>
        <v>0</v>
      </c>
      <c r="E66" s="40">
        <f t="shared" si="13"/>
        <v>0</v>
      </c>
      <c r="F66" s="40">
        <f t="shared" si="13"/>
        <v>0</v>
      </c>
      <c r="G66" s="40">
        <f t="shared" si="13"/>
        <v>0</v>
      </c>
      <c r="H66" s="40">
        <f t="shared" si="13"/>
        <v>0</v>
      </c>
    </row>
    <row r="67" spans="1:10" ht="12" thickTop="1">
      <c r="A67" s="75"/>
      <c r="B67" s="76"/>
      <c r="C67" s="72"/>
      <c r="D67" s="72"/>
      <c r="E67" s="72"/>
      <c r="F67" s="72"/>
      <c r="G67" s="72"/>
      <c r="H67" s="72"/>
      <c r="I67" s="73"/>
      <c r="J67" s="73"/>
    </row>
    <row r="68" spans="1:10" ht="10.5">
      <c r="A68" s="75"/>
      <c r="B68" s="76"/>
      <c r="C68" s="72"/>
      <c r="D68" s="72"/>
      <c r="E68" s="72"/>
      <c r="F68" s="72"/>
      <c r="G68" s="72"/>
      <c r="H68" s="72"/>
      <c r="I68" s="73"/>
      <c r="J68" s="73"/>
    </row>
    <row r="69" spans="1:10" ht="10.5">
      <c r="A69" s="510" t="s">
        <v>182</v>
      </c>
      <c r="B69" s="510"/>
      <c r="C69" s="78">
        <f aca="true" t="shared" si="14" ref="C69:H69">+C29</f>
        <v>276000</v>
      </c>
      <c r="D69" s="78">
        <f t="shared" si="14"/>
        <v>279480</v>
      </c>
      <c r="E69" s="78">
        <f t="shared" si="14"/>
        <v>283009.2</v>
      </c>
      <c r="F69" s="78">
        <f t="shared" si="14"/>
        <v>286588.38</v>
      </c>
      <c r="G69" s="78">
        <f t="shared" si="14"/>
        <v>290218.33356000006</v>
      </c>
      <c r="H69" s="78">
        <f t="shared" si="14"/>
        <v>293899.86805080005</v>
      </c>
      <c r="I69" s="73"/>
      <c r="J69" s="73"/>
    </row>
    <row r="70" spans="1:10" ht="10.5">
      <c r="A70" s="510" t="s">
        <v>183</v>
      </c>
      <c r="B70" s="510"/>
      <c r="C70" s="78">
        <f aca="true" t="shared" si="15" ref="C70:H70">+C41</f>
        <v>0</v>
      </c>
      <c r="D70" s="78">
        <f t="shared" si="15"/>
        <v>0</v>
      </c>
      <c r="E70" s="78">
        <f t="shared" si="15"/>
        <v>0</v>
      </c>
      <c r="F70" s="78">
        <f t="shared" si="15"/>
        <v>0</v>
      </c>
      <c r="G70" s="78">
        <f t="shared" si="15"/>
        <v>0</v>
      </c>
      <c r="H70" s="78">
        <f t="shared" si="15"/>
        <v>0</v>
      </c>
      <c r="I70" s="73"/>
      <c r="J70" s="73"/>
    </row>
    <row r="71" spans="1:10" ht="10.5">
      <c r="A71" s="510" t="s">
        <v>64</v>
      </c>
      <c r="B71" s="510"/>
      <c r="C71" s="85">
        <f aca="true" t="shared" si="16" ref="C71:H71">+C69+C70</f>
        <v>276000</v>
      </c>
      <c r="D71" s="85">
        <f t="shared" si="16"/>
        <v>279480</v>
      </c>
      <c r="E71" s="85">
        <f t="shared" si="16"/>
        <v>283009.2</v>
      </c>
      <c r="F71" s="85">
        <f t="shared" si="16"/>
        <v>286588.38</v>
      </c>
      <c r="G71" s="85">
        <f t="shared" si="16"/>
        <v>290218.33356000006</v>
      </c>
      <c r="H71" s="85">
        <f t="shared" si="16"/>
        <v>293899.86805080005</v>
      </c>
      <c r="I71" s="73"/>
      <c r="J71" s="73"/>
    </row>
    <row r="72" spans="1:10" ht="12" thickBot="1">
      <c r="A72" s="79" t="s">
        <v>150</v>
      </c>
      <c r="B72" s="456">
        <f>+Pressupostos!B18</f>
        <v>0.06</v>
      </c>
      <c r="C72" s="40">
        <f aca="true" t="shared" si="17" ref="C72:H72">+C69*$B$72</f>
        <v>16560</v>
      </c>
      <c r="D72" s="40">
        <f t="shared" si="17"/>
        <v>16768.8</v>
      </c>
      <c r="E72" s="40">
        <f t="shared" si="17"/>
        <v>16980.552</v>
      </c>
      <c r="F72" s="40">
        <f t="shared" si="17"/>
        <v>17195.3028</v>
      </c>
      <c r="G72" s="40">
        <f t="shared" si="17"/>
        <v>17413.100013600004</v>
      </c>
      <c r="H72" s="40">
        <f t="shared" si="17"/>
        <v>17633.992083048004</v>
      </c>
      <c r="I72" s="73"/>
      <c r="J72" s="73"/>
    </row>
    <row r="73" spans="1:10" ht="12" thickTop="1">
      <c r="A73" s="66"/>
      <c r="B73" s="80"/>
      <c r="C73" s="67"/>
      <c r="D73" s="67"/>
      <c r="E73" s="67"/>
      <c r="F73" s="67"/>
      <c r="G73" s="67"/>
      <c r="H73" s="67"/>
      <c r="I73" s="73"/>
      <c r="J73" s="73"/>
    </row>
    <row r="74" spans="1:10" s="82" customFormat="1" ht="10.5">
      <c r="A74" s="66"/>
      <c r="B74" s="80"/>
      <c r="C74" s="67"/>
      <c r="D74" s="67"/>
      <c r="E74" s="67"/>
      <c r="F74" s="67"/>
      <c r="G74" s="67"/>
      <c r="H74" s="67"/>
      <c r="I74" s="81"/>
      <c r="J74" s="81"/>
    </row>
    <row r="75" spans="1:10" ht="10.5">
      <c r="A75" s="510" t="s">
        <v>269</v>
      </c>
      <c r="B75" s="510"/>
      <c r="C75" s="78">
        <f aca="true" t="shared" si="18" ref="C75:H75">+C54</f>
        <v>0</v>
      </c>
      <c r="D75" s="78">
        <f t="shared" si="18"/>
        <v>0</v>
      </c>
      <c r="E75" s="78">
        <f t="shared" si="18"/>
        <v>0</v>
      </c>
      <c r="F75" s="78">
        <f t="shared" si="18"/>
        <v>0</v>
      </c>
      <c r="G75" s="78">
        <f t="shared" si="18"/>
        <v>0</v>
      </c>
      <c r="H75" s="78">
        <f t="shared" si="18"/>
        <v>0</v>
      </c>
      <c r="I75" s="73"/>
      <c r="J75" s="73"/>
    </row>
    <row r="76" spans="1:10" ht="10.5">
      <c r="A76" s="510" t="s">
        <v>270</v>
      </c>
      <c r="B76" s="510"/>
      <c r="C76" s="78">
        <f aca="true" t="shared" si="19" ref="C76:H76">+C66</f>
        <v>0</v>
      </c>
      <c r="D76" s="78">
        <f t="shared" si="19"/>
        <v>0</v>
      </c>
      <c r="E76" s="78">
        <f t="shared" si="19"/>
        <v>0</v>
      </c>
      <c r="F76" s="78">
        <f t="shared" si="19"/>
        <v>0</v>
      </c>
      <c r="G76" s="78">
        <f t="shared" si="19"/>
        <v>0</v>
      </c>
      <c r="H76" s="78">
        <f t="shared" si="19"/>
        <v>0</v>
      </c>
      <c r="I76" s="73"/>
      <c r="J76" s="73"/>
    </row>
    <row r="77" spans="1:10" ht="10.5">
      <c r="A77" s="510" t="s">
        <v>184</v>
      </c>
      <c r="B77" s="510"/>
      <c r="C77" s="85">
        <f aca="true" t="shared" si="20" ref="C77:H77">+C75+C76</f>
        <v>0</v>
      </c>
      <c r="D77" s="85">
        <f t="shared" si="20"/>
        <v>0</v>
      </c>
      <c r="E77" s="85">
        <f t="shared" si="20"/>
        <v>0</v>
      </c>
      <c r="F77" s="85">
        <f t="shared" si="20"/>
        <v>0</v>
      </c>
      <c r="G77" s="85">
        <f t="shared" si="20"/>
        <v>0</v>
      </c>
      <c r="H77" s="85">
        <f t="shared" si="20"/>
        <v>0</v>
      </c>
      <c r="I77" s="73"/>
      <c r="J77" s="73"/>
    </row>
    <row r="78" spans="1:10" ht="12" thickBot="1">
      <c r="A78" s="79" t="s">
        <v>271</v>
      </c>
      <c r="B78" s="456">
        <f>+Pressupostos!B19</f>
        <v>0.23</v>
      </c>
      <c r="C78" s="40">
        <f aca="true" t="shared" si="21" ref="C78:H78">+C75*$B$78</f>
        <v>0</v>
      </c>
      <c r="D78" s="40">
        <f t="shared" si="21"/>
        <v>0</v>
      </c>
      <c r="E78" s="40">
        <f t="shared" si="21"/>
        <v>0</v>
      </c>
      <c r="F78" s="40">
        <f t="shared" si="21"/>
        <v>0</v>
      </c>
      <c r="G78" s="40">
        <f t="shared" si="21"/>
        <v>0</v>
      </c>
      <c r="H78" s="40">
        <f t="shared" si="21"/>
        <v>0</v>
      </c>
      <c r="I78" s="73"/>
      <c r="J78" s="73"/>
    </row>
    <row r="79" spans="1:10" ht="12" thickTop="1">
      <c r="A79" s="75"/>
      <c r="B79" s="76"/>
      <c r="C79" s="72"/>
      <c r="D79" s="72"/>
      <c r="E79" s="72"/>
      <c r="F79" s="72"/>
      <c r="G79" s="72"/>
      <c r="H79" s="72"/>
      <c r="I79" s="73"/>
      <c r="J79" s="73"/>
    </row>
    <row r="80" spans="1:10" ht="12" thickBot="1">
      <c r="A80" s="509" t="s">
        <v>65</v>
      </c>
      <c r="B80" s="509"/>
      <c r="C80" s="40">
        <f aca="true" t="shared" si="22" ref="C80:H80">+C71+C77</f>
        <v>276000</v>
      </c>
      <c r="D80" s="40">
        <f t="shared" si="22"/>
        <v>279480</v>
      </c>
      <c r="E80" s="40">
        <f t="shared" si="22"/>
        <v>283009.2</v>
      </c>
      <c r="F80" s="40">
        <f t="shared" si="22"/>
        <v>286588.38</v>
      </c>
      <c r="G80" s="40">
        <f t="shared" si="22"/>
        <v>290218.33356000006</v>
      </c>
      <c r="H80" s="40">
        <f t="shared" si="22"/>
        <v>293899.86805080005</v>
      </c>
      <c r="I80" s="73"/>
      <c r="J80" s="73"/>
    </row>
    <row r="81" spans="1:10" ht="12" thickTop="1">
      <c r="A81" s="75"/>
      <c r="B81" s="71"/>
      <c r="C81" s="72"/>
      <c r="D81" s="72"/>
      <c r="E81" s="72"/>
      <c r="F81" s="72"/>
      <c r="G81" s="72"/>
      <c r="H81" s="72"/>
      <c r="I81" s="73"/>
      <c r="J81" s="73"/>
    </row>
    <row r="82" spans="1:10" ht="12" thickBot="1">
      <c r="A82" s="509" t="s">
        <v>62</v>
      </c>
      <c r="B82" s="509"/>
      <c r="C82" s="40">
        <f aca="true" t="shared" si="23" ref="C82:H82">+C72+C78</f>
        <v>16560</v>
      </c>
      <c r="D82" s="40">
        <f t="shared" si="23"/>
        <v>16768.8</v>
      </c>
      <c r="E82" s="40">
        <f t="shared" si="23"/>
        <v>16980.552</v>
      </c>
      <c r="F82" s="40">
        <f t="shared" si="23"/>
        <v>17195.3028</v>
      </c>
      <c r="G82" s="40">
        <f t="shared" si="23"/>
        <v>17413.100013600004</v>
      </c>
      <c r="H82" s="40">
        <f t="shared" si="23"/>
        <v>17633.992083048004</v>
      </c>
      <c r="I82" s="73"/>
      <c r="J82" s="73"/>
    </row>
    <row r="83" spans="1:10" ht="12" thickTop="1">
      <c r="A83" s="63"/>
      <c r="B83" s="63"/>
      <c r="C83" s="63"/>
      <c r="D83" s="63"/>
      <c r="E83" s="63"/>
      <c r="F83" s="63"/>
      <c r="G83" s="63"/>
      <c r="H83" s="63"/>
      <c r="I83" s="73"/>
      <c r="J83" s="73"/>
    </row>
    <row r="84" spans="1:10" ht="12" thickBot="1">
      <c r="A84" s="509" t="s">
        <v>69</v>
      </c>
      <c r="B84" s="509"/>
      <c r="C84" s="40">
        <f aca="true" t="shared" si="24" ref="C84:H84">+C80+C82</f>
        <v>292560</v>
      </c>
      <c r="D84" s="40">
        <f t="shared" si="24"/>
        <v>296248.8</v>
      </c>
      <c r="E84" s="40">
        <f t="shared" si="24"/>
        <v>299989.75200000004</v>
      </c>
      <c r="F84" s="40">
        <f t="shared" si="24"/>
        <v>303783.6828</v>
      </c>
      <c r="G84" s="40">
        <f t="shared" si="24"/>
        <v>307631.4335736001</v>
      </c>
      <c r="H84" s="40">
        <f t="shared" si="24"/>
        <v>311533.86013384804</v>
      </c>
      <c r="I84" s="73"/>
      <c r="J84" s="73"/>
    </row>
    <row r="85" spans="1:10" ht="12" thickTop="1">
      <c r="A85" s="63"/>
      <c r="B85" s="63"/>
      <c r="C85" s="63"/>
      <c r="D85" s="63"/>
      <c r="E85" s="63"/>
      <c r="F85" s="63"/>
      <c r="G85" s="63"/>
      <c r="H85" s="63"/>
      <c r="I85" s="73"/>
      <c r="J85" s="73"/>
    </row>
    <row r="86" spans="1:10" ht="10.5">
      <c r="A86" s="63"/>
      <c r="B86" s="63"/>
      <c r="C86" s="63"/>
      <c r="D86" s="63"/>
      <c r="E86" s="63"/>
      <c r="F86" s="63"/>
      <c r="G86" s="63"/>
      <c r="H86" s="63"/>
      <c r="I86" s="73"/>
      <c r="J86" s="73"/>
    </row>
    <row r="87" spans="1:10" ht="12" thickBot="1">
      <c r="A87" s="83" t="s">
        <v>449</v>
      </c>
      <c r="B87" s="457">
        <v>0.02</v>
      </c>
      <c r="C87" s="40">
        <f aca="true" t="shared" si="25" ref="C87:H87">+$B$87*C84</f>
        <v>5851.2</v>
      </c>
      <c r="D87" s="40">
        <f t="shared" si="25"/>
        <v>5924.976</v>
      </c>
      <c r="E87" s="40">
        <f t="shared" si="25"/>
        <v>5999.795040000001</v>
      </c>
      <c r="F87" s="40">
        <f t="shared" si="25"/>
        <v>6075.673656</v>
      </c>
      <c r="G87" s="40">
        <f t="shared" si="25"/>
        <v>6152.628671472002</v>
      </c>
      <c r="H87" s="40">
        <f t="shared" si="25"/>
        <v>6230.677202676961</v>
      </c>
      <c r="I87" s="73"/>
      <c r="J87" s="73"/>
    </row>
    <row r="88" spans="1:8" ht="12" thickTop="1">
      <c r="A88" s="63"/>
      <c r="B88" s="63"/>
      <c r="C88" s="63"/>
      <c r="D88" s="63"/>
      <c r="E88" s="63"/>
      <c r="F88" s="63"/>
      <c r="G88" s="63"/>
      <c r="H88" s="63"/>
    </row>
    <row r="89" spans="1:8" ht="10.5">
      <c r="A89" s="73"/>
      <c r="B89" s="73"/>
      <c r="C89" s="73"/>
      <c r="D89" s="73"/>
      <c r="E89" s="73"/>
      <c r="F89" s="73"/>
      <c r="G89" s="73"/>
      <c r="H89" s="73"/>
    </row>
    <row r="90" spans="1:8" ht="10.5">
      <c r="A90" s="73"/>
      <c r="B90" s="73"/>
      <c r="C90" s="73"/>
      <c r="D90" s="73"/>
      <c r="E90" s="73"/>
      <c r="F90" s="73"/>
      <c r="G90" s="73"/>
      <c r="H90" s="73"/>
    </row>
    <row r="91" spans="1:8" ht="10.5">
      <c r="A91" s="73"/>
      <c r="B91" s="73"/>
      <c r="C91" s="73"/>
      <c r="D91" s="73"/>
      <c r="E91" s="73"/>
      <c r="F91" s="73"/>
      <c r="G91" s="73"/>
      <c r="H91" s="73"/>
    </row>
    <row r="92" spans="1:8" ht="10.5">
      <c r="A92" s="73"/>
      <c r="B92" s="73"/>
      <c r="C92" s="73"/>
      <c r="D92" s="73"/>
      <c r="E92" s="73"/>
      <c r="F92" s="73"/>
      <c r="G92" s="73"/>
      <c r="H92" s="73"/>
    </row>
    <row r="93" spans="1:8" ht="10.5">
      <c r="A93" s="73"/>
      <c r="B93" s="73"/>
      <c r="C93" s="73"/>
      <c r="D93" s="73"/>
      <c r="E93" s="73"/>
      <c r="F93" s="73"/>
      <c r="G93" s="73"/>
      <c r="H93" s="73"/>
    </row>
    <row r="94" spans="1:8" ht="10.5">
      <c r="A94" s="73"/>
      <c r="B94" s="73"/>
      <c r="C94" s="73"/>
      <c r="D94" s="73"/>
      <c r="E94" s="73"/>
      <c r="F94" s="73"/>
      <c r="G94" s="73"/>
      <c r="H94" s="73"/>
    </row>
    <row r="95" spans="1:8" ht="10.5">
      <c r="A95" s="73"/>
      <c r="B95" s="73"/>
      <c r="C95" s="73"/>
      <c r="D95" s="73"/>
      <c r="E95" s="73"/>
      <c r="F95" s="73"/>
      <c r="G95" s="73"/>
      <c r="H95" s="73"/>
    </row>
    <row r="96" spans="1:8" ht="10.5">
      <c r="A96" s="73"/>
      <c r="B96" s="73"/>
      <c r="C96" s="73"/>
      <c r="D96" s="73"/>
      <c r="E96" s="73"/>
      <c r="F96" s="73"/>
      <c r="G96" s="73"/>
      <c r="H96" s="73"/>
    </row>
    <row r="97" spans="1:8" ht="10.5">
      <c r="A97" s="73"/>
      <c r="B97" s="73"/>
      <c r="C97" s="73"/>
      <c r="D97" s="73"/>
      <c r="E97" s="73"/>
      <c r="F97" s="73"/>
      <c r="G97" s="73"/>
      <c r="H97" s="73"/>
    </row>
    <row r="98" spans="1:8" ht="10.5">
      <c r="A98" s="73"/>
      <c r="B98" s="73"/>
      <c r="C98" s="73"/>
      <c r="D98" s="73"/>
      <c r="E98" s="73"/>
      <c r="F98" s="73"/>
      <c r="G98" s="73"/>
      <c r="H98" s="73"/>
    </row>
    <row r="99" spans="1:8" ht="10.5">
      <c r="A99" s="73"/>
      <c r="B99" s="73"/>
      <c r="C99" s="73"/>
      <c r="D99" s="73"/>
      <c r="E99" s="73"/>
      <c r="F99" s="73"/>
      <c r="G99" s="73"/>
      <c r="H99" s="73"/>
    </row>
    <row r="100" spans="1:8" ht="10.5">
      <c r="A100" s="73"/>
      <c r="B100" s="73"/>
      <c r="C100" s="73"/>
      <c r="D100" s="73"/>
      <c r="E100" s="73"/>
      <c r="F100" s="73"/>
      <c r="G100" s="73"/>
      <c r="H100" s="73"/>
    </row>
    <row r="101" spans="1:8" ht="10.5">
      <c r="A101" s="73"/>
      <c r="B101" s="73"/>
      <c r="C101" s="73"/>
      <c r="D101" s="73"/>
      <c r="E101" s="73"/>
      <c r="F101" s="73"/>
      <c r="G101" s="73"/>
      <c r="H101" s="73"/>
    </row>
    <row r="102" spans="1:8" ht="10.5">
      <c r="A102" s="73"/>
      <c r="B102" s="73"/>
      <c r="C102" s="73"/>
      <c r="D102" s="73"/>
      <c r="E102" s="73"/>
      <c r="F102" s="73"/>
      <c r="G102" s="73"/>
      <c r="H102" s="73"/>
    </row>
    <row r="103" spans="1:8" ht="10.5">
      <c r="A103" s="73"/>
      <c r="B103" s="73"/>
      <c r="C103" s="73"/>
      <c r="D103" s="73"/>
      <c r="E103" s="73"/>
      <c r="F103" s="73"/>
      <c r="G103" s="73"/>
      <c r="H103" s="73"/>
    </row>
    <row r="104" spans="1:8" ht="10.5">
      <c r="A104" s="73"/>
      <c r="B104" s="73"/>
      <c r="C104" s="73"/>
      <c r="D104" s="73"/>
      <c r="E104" s="73"/>
      <c r="F104" s="73"/>
      <c r="G104" s="73"/>
      <c r="H104" s="73"/>
    </row>
    <row r="105" spans="1:8" ht="10.5">
      <c r="A105" s="73"/>
      <c r="B105" s="73"/>
      <c r="C105" s="73"/>
      <c r="D105" s="73"/>
      <c r="E105" s="73"/>
      <c r="F105" s="73"/>
      <c r="G105" s="73"/>
      <c r="H105" s="73"/>
    </row>
    <row r="106" spans="1:8" ht="10.5">
      <c r="A106" s="73"/>
      <c r="B106" s="73"/>
      <c r="C106" s="73"/>
      <c r="D106" s="73"/>
      <c r="E106" s="73"/>
      <c r="F106" s="73"/>
      <c r="G106" s="73"/>
      <c r="H106" s="73"/>
    </row>
    <row r="107" spans="1:8" ht="10.5">
      <c r="A107" s="73"/>
      <c r="B107" s="73"/>
      <c r="C107" s="73"/>
      <c r="D107" s="73"/>
      <c r="E107" s="73"/>
      <c r="F107" s="73"/>
      <c r="G107" s="73"/>
      <c r="H107" s="73"/>
    </row>
    <row r="108" spans="1:8" ht="10.5">
      <c r="A108" s="73"/>
      <c r="B108" s="73"/>
      <c r="C108" s="73"/>
      <c r="D108" s="73"/>
      <c r="E108" s="73"/>
      <c r="F108" s="73"/>
      <c r="G108" s="73"/>
      <c r="H108" s="73"/>
    </row>
    <row r="109" spans="1:8" ht="10.5">
      <c r="A109" s="73"/>
      <c r="B109" s="73"/>
      <c r="C109" s="73"/>
      <c r="D109" s="73"/>
      <c r="E109" s="73"/>
      <c r="F109" s="73"/>
      <c r="G109" s="73"/>
      <c r="H109" s="73"/>
    </row>
    <row r="110" spans="1:8" ht="10.5">
      <c r="A110" s="73"/>
      <c r="B110" s="73"/>
      <c r="C110" s="73"/>
      <c r="D110" s="73"/>
      <c r="E110" s="73"/>
      <c r="F110" s="73"/>
      <c r="G110" s="73"/>
      <c r="H110" s="73"/>
    </row>
    <row r="111" spans="1:8" ht="10.5">
      <c r="A111" s="73"/>
      <c r="B111" s="73"/>
      <c r="C111" s="73"/>
      <c r="D111" s="73"/>
      <c r="E111" s="73"/>
      <c r="F111" s="73"/>
      <c r="G111" s="73"/>
      <c r="H111" s="73"/>
    </row>
    <row r="112" spans="1:8" ht="10.5">
      <c r="A112" s="73"/>
      <c r="B112" s="73"/>
      <c r="C112" s="73"/>
      <c r="D112" s="73"/>
      <c r="E112" s="73"/>
      <c r="F112" s="73"/>
      <c r="G112" s="73"/>
      <c r="H112" s="73"/>
    </row>
    <row r="113" spans="1:8" ht="10.5">
      <c r="A113" s="73"/>
      <c r="B113" s="73"/>
      <c r="C113" s="73"/>
      <c r="D113" s="73"/>
      <c r="E113" s="73"/>
      <c r="F113" s="73"/>
      <c r="G113" s="73"/>
      <c r="H113" s="73"/>
    </row>
    <row r="114" spans="1:8" ht="10.5">
      <c r="A114" s="73"/>
      <c r="B114" s="73"/>
      <c r="C114" s="73"/>
      <c r="D114" s="73"/>
      <c r="E114" s="73"/>
      <c r="F114" s="73"/>
      <c r="G114" s="73"/>
      <c r="H114" s="73"/>
    </row>
    <row r="115" spans="1:8" ht="10.5">
      <c r="A115" s="73"/>
      <c r="B115" s="73"/>
      <c r="C115" s="73"/>
      <c r="D115" s="73"/>
      <c r="E115" s="73"/>
      <c r="F115" s="73"/>
      <c r="G115" s="73"/>
      <c r="H115" s="73"/>
    </row>
    <row r="116" spans="1:8" ht="10.5">
      <c r="A116" s="73"/>
      <c r="B116" s="73"/>
      <c r="C116" s="73"/>
      <c r="D116" s="73"/>
      <c r="E116" s="73"/>
      <c r="F116" s="73"/>
      <c r="G116" s="73"/>
      <c r="H116" s="73"/>
    </row>
    <row r="117" spans="1:8" ht="10.5">
      <c r="A117" s="73"/>
      <c r="B117" s="73"/>
      <c r="C117" s="73"/>
      <c r="D117" s="73"/>
      <c r="E117" s="73"/>
      <c r="F117" s="73"/>
      <c r="G117" s="73"/>
      <c r="H117" s="73"/>
    </row>
    <row r="118" spans="1:8" ht="10.5">
      <c r="A118" s="73"/>
      <c r="B118" s="73"/>
      <c r="C118" s="73"/>
      <c r="D118" s="73"/>
      <c r="E118" s="73"/>
      <c r="F118" s="73"/>
      <c r="G118" s="73"/>
      <c r="H118" s="73"/>
    </row>
    <row r="119" spans="1:8" ht="10.5">
      <c r="A119" s="73"/>
      <c r="B119" s="73"/>
      <c r="C119" s="73"/>
      <c r="D119" s="73"/>
      <c r="E119" s="73"/>
      <c r="F119" s="73"/>
      <c r="G119" s="73"/>
      <c r="H119" s="73"/>
    </row>
    <row r="120" spans="1:8" ht="10.5">
      <c r="A120" s="73"/>
      <c r="B120" s="73"/>
      <c r="C120" s="73"/>
      <c r="D120" s="73"/>
      <c r="E120" s="73"/>
      <c r="F120" s="73"/>
      <c r="G120" s="73"/>
      <c r="H120" s="73"/>
    </row>
    <row r="121" spans="1:8" ht="10.5">
      <c r="A121" s="73"/>
      <c r="B121" s="73"/>
      <c r="C121" s="73"/>
      <c r="D121" s="73"/>
      <c r="E121" s="73"/>
      <c r="F121" s="73"/>
      <c r="G121" s="73"/>
      <c r="H121" s="73"/>
    </row>
    <row r="122" spans="1:8" ht="10.5">
      <c r="A122" s="73"/>
      <c r="B122" s="73"/>
      <c r="C122" s="73"/>
      <c r="D122" s="73"/>
      <c r="E122" s="73"/>
      <c r="F122" s="73"/>
      <c r="G122" s="73"/>
      <c r="H122" s="73"/>
    </row>
    <row r="123" spans="1:8" ht="10.5">
      <c r="A123" s="73"/>
      <c r="B123" s="73"/>
      <c r="C123" s="73"/>
      <c r="D123" s="73"/>
      <c r="E123" s="73"/>
      <c r="F123" s="73"/>
      <c r="G123" s="73"/>
      <c r="H123" s="73"/>
    </row>
    <row r="124" spans="1:8" ht="10.5">
      <c r="A124" s="73"/>
      <c r="B124" s="73"/>
      <c r="C124" s="73"/>
      <c r="D124" s="73"/>
      <c r="E124" s="73"/>
      <c r="F124" s="73"/>
      <c r="G124" s="73"/>
      <c r="H124" s="73"/>
    </row>
    <row r="125" spans="1:8" ht="10.5">
      <c r="A125" s="73"/>
      <c r="B125" s="73"/>
      <c r="C125" s="73"/>
      <c r="D125" s="73"/>
      <c r="E125" s="73"/>
      <c r="F125" s="73"/>
      <c r="G125" s="73"/>
      <c r="H125" s="73"/>
    </row>
    <row r="126" spans="1:8" ht="10.5">
      <c r="A126" s="73"/>
      <c r="B126" s="73"/>
      <c r="C126" s="73"/>
      <c r="D126" s="73"/>
      <c r="E126" s="73"/>
      <c r="F126" s="73"/>
      <c r="G126" s="73"/>
      <c r="H126" s="73"/>
    </row>
    <row r="127" spans="1:8" ht="10.5">
      <c r="A127" s="73"/>
      <c r="B127" s="73"/>
      <c r="C127" s="73"/>
      <c r="D127" s="73"/>
      <c r="E127" s="73"/>
      <c r="F127" s="73"/>
      <c r="G127" s="73"/>
      <c r="H127" s="73"/>
    </row>
    <row r="128" spans="1:8" ht="10.5">
      <c r="A128" s="73"/>
      <c r="B128" s="73"/>
      <c r="C128" s="73"/>
      <c r="D128" s="73"/>
      <c r="E128" s="73"/>
      <c r="F128" s="73"/>
      <c r="G128" s="73"/>
      <c r="H128" s="73"/>
    </row>
    <row r="129" spans="1:8" ht="10.5">
      <c r="A129" s="73"/>
      <c r="B129" s="73"/>
      <c r="C129" s="73"/>
      <c r="D129" s="73"/>
      <c r="E129" s="73"/>
      <c r="F129" s="73"/>
      <c r="G129" s="73"/>
      <c r="H129" s="73"/>
    </row>
    <row r="130" spans="1:8" ht="10.5">
      <c r="A130" s="73"/>
      <c r="B130" s="73"/>
      <c r="C130" s="73"/>
      <c r="D130" s="73"/>
      <c r="E130" s="73"/>
      <c r="F130" s="73"/>
      <c r="G130" s="73"/>
      <c r="H130" s="73"/>
    </row>
    <row r="131" spans="1:8" ht="10.5">
      <c r="A131" s="73"/>
      <c r="B131" s="73"/>
      <c r="C131" s="73"/>
      <c r="D131" s="73"/>
      <c r="E131" s="73"/>
      <c r="F131" s="73"/>
      <c r="G131" s="73"/>
      <c r="H131" s="73"/>
    </row>
    <row r="132" spans="1:8" ht="10.5">
      <c r="A132" s="73"/>
      <c r="B132" s="73"/>
      <c r="C132" s="73"/>
      <c r="D132" s="73"/>
      <c r="E132" s="73"/>
      <c r="F132" s="73"/>
      <c r="G132" s="73"/>
      <c r="H132" s="73"/>
    </row>
    <row r="133" spans="1:8" ht="10.5">
      <c r="A133" s="73"/>
      <c r="B133" s="73"/>
      <c r="C133" s="73"/>
      <c r="D133" s="73"/>
      <c r="E133" s="73"/>
      <c r="F133" s="73"/>
      <c r="G133" s="73"/>
      <c r="H133" s="73"/>
    </row>
    <row r="134" spans="1:8" ht="10.5">
      <c r="A134" s="73"/>
      <c r="B134" s="73"/>
      <c r="C134" s="73"/>
      <c r="D134" s="73"/>
      <c r="E134" s="73"/>
      <c r="F134" s="73"/>
      <c r="G134" s="73"/>
      <c r="H134" s="73"/>
    </row>
    <row r="135" spans="1:8" ht="10.5">
      <c r="A135" s="73"/>
      <c r="B135" s="73"/>
      <c r="C135" s="73"/>
      <c r="D135" s="73"/>
      <c r="E135" s="73"/>
      <c r="F135" s="73"/>
      <c r="G135" s="73"/>
      <c r="H135" s="73"/>
    </row>
    <row r="136" spans="1:8" ht="10.5">
      <c r="A136" s="73"/>
      <c r="B136" s="73"/>
      <c r="C136" s="73"/>
      <c r="D136" s="73"/>
      <c r="E136" s="73"/>
      <c r="F136" s="73"/>
      <c r="G136" s="73"/>
      <c r="H136" s="73"/>
    </row>
    <row r="137" spans="1:8" ht="10.5">
      <c r="A137" s="73"/>
      <c r="B137" s="73"/>
      <c r="C137" s="73"/>
      <c r="D137" s="73"/>
      <c r="E137" s="73"/>
      <c r="F137" s="73"/>
      <c r="G137" s="73"/>
      <c r="H137" s="73"/>
    </row>
    <row r="138" spans="1:8" ht="10.5">
      <c r="A138" s="73"/>
      <c r="B138" s="73"/>
      <c r="C138" s="73"/>
      <c r="D138" s="73"/>
      <c r="E138" s="73"/>
      <c r="F138" s="73"/>
      <c r="G138" s="73"/>
      <c r="H138" s="73"/>
    </row>
    <row r="139" spans="1:8" ht="10.5">
      <c r="A139" s="73"/>
      <c r="B139" s="73"/>
      <c r="C139" s="73"/>
      <c r="D139" s="73"/>
      <c r="E139" s="73"/>
      <c r="F139" s="73"/>
      <c r="G139" s="73"/>
      <c r="H139" s="73"/>
    </row>
    <row r="140" spans="1:8" ht="10.5">
      <c r="A140" s="73"/>
      <c r="B140" s="73"/>
      <c r="C140" s="73"/>
      <c r="D140" s="73"/>
      <c r="E140" s="73"/>
      <c r="F140" s="73"/>
      <c r="G140" s="73"/>
      <c r="H140" s="73"/>
    </row>
    <row r="141" spans="1:8" ht="10.5">
      <c r="A141" s="73"/>
      <c r="B141" s="73"/>
      <c r="C141" s="73"/>
      <c r="D141" s="73"/>
      <c r="E141" s="73"/>
      <c r="F141" s="73"/>
      <c r="G141" s="73"/>
      <c r="H141" s="73"/>
    </row>
    <row r="142" spans="1:8" ht="10.5">
      <c r="A142" s="73"/>
      <c r="B142" s="73"/>
      <c r="C142" s="73"/>
      <c r="D142" s="73"/>
      <c r="E142" s="73"/>
      <c r="F142" s="73"/>
      <c r="G142" s="73"/>
      <c r="H142" s="73"/>
    </row>
    <row r="143" spans="1:8" ht="10.5">
      <c r="A143" s="73"/>
      <c r="B143" s="73"/>
      <c r="C143" s="73"/>
      <c r="D143" s="73"/>
      <c r="E143" s="73"/>
      <c r="F143" s="73"/>
      <c r="G143" s="73"/>
      <c r="H143" s="73"/>
    </row>
    <row r="144" spans="1:8" ht="10.5">
      <c r="A144" s="73"/>
      <c r="B144" s="73"/>
      <c r="C144" s="73"/>
      <c r="D144" s="73"/>
      <c r="E144" s="73"/>
      <c r="F144" s="73"/>
      <c r="G144" s="73"/>
      <c r="H144" s="73"/>
    </row>
    <row r="145" spans="1:8" ht="10.5">
      <c r="A145" s="73"/>
      <c r="B145" s="73"/>
      <c r="C145" s="73"/>
      <c r="D145" s="73"/>
      <c r="E145" s="73"/>
      <c r="F145" s="73"/>
      <c r="G145" s="73"/>
      <c r="H145" s="73"/>
    </row>
    <row r="146" spans="1:8" ht="10.5">
      <c r="A146" s="73"/>
      <c r="B146" s="73"/>
      <c r="C146" s="73"/>
      <c r="D146" s="73"/>
      <c r="E146" s="73"/>
      <c r="F146" s="73"/>
      <c r="G146" s="73"/>
      <c r="H146" s="73"/>
    </row>
    <row r="147" spans="1:8" ht="10.5">
      <c r="A147" s="73"/>
      <c r="B147" s="73"/>
      <c r="C147" s="73"/>
      <c r="D147" s="73"/>
      <c r="E147" s="73"/>
      <c r="F147" s="73"/>
      <c r="G147" s="73"/>
      <c r="H147" s="73"/>
    </row>
    <row r="148" spans="1:8" ht="10.5">
      <c r="A148" s="73"/>
      <c r="B148" s="73"/>
      <c r="C148" s="73"/>
      <c r="D148" s="73"/>
      <c r="E148" s="73"/>
      <c r="F148" s="73"/>
      <c r="G148" s="73"/>
      <c r="H148" s="73"/>
    </row>
    <row r="149" spans="1:8" ht="10.5">
      <c r="A149" s="73"/>
      <c r="B149" s="73"/>
      <c r="C149" s="73"/>
      <c r="D149" s="73"/>
      <c r="E149" s="73"/>
      <c r="F149" s="73"/>
      <c r="G149" s="73"/>
      <c r="H149" s="73"/>
    </row>
    <row r="150" spans="1:8" ht="10.5">
      <c r="A150" s="73"/>
      <c r="B150" s="73"/>
      <c r="C150" s="73"/>
      <c r="D150" s="73"/>
      <c r="E150" s="73"/>
      <c r="F150" s="73"/>
      <c r="G150" s="73"/>
      <c r="H150" s="73"/>
    </row>
    <row r="151" spans="1:8" ht="10.5">
      <c r="A151" s="73"/>
      <c r="B151" s="73"/>
      <c r="C151" s="73"/>
      <c r="D151" s="73"/>
      <c r="E151" s="73"/>
      <c r="F151" s="73"/>
      <c r="G151" s="73"/>
      <c r="H151" s="73"/>
    </row>
    <row r="152" spans="1:8" ht="10.5">
      <c r="A152" s="73"/>
      <c r="B152" s="73"/>
      <c r="C152" s="73"/>
      <c r="D152" s="73"/>
      <c r="E152" s="73"/>
      <c r="F152" s="73"/>
      <c r="G152" s="73"/>
      <c r="H152" s="73"/>
    </row>
    <row r="153" spans="1:8" ht="10.5">
      <c r="A153" s="73"/>
      <c r="B153" s="73"/>
      <c r="C153" s="73"/>
      <c r="D153" s="73"/>
      <c r="E153" s="73"/>
      <c r="F153" s="73"/>
      <c r="G153" s="73"/>
      <c r="H153" s="73"/>
    </row>
    <row r="154" spans="1:8" ht="10.5">
      <c r="A154" s="73"/>
      <c r="B154" s="73"/>
      <c r="C154" s="73"/>
      <c r="D154" s="73"/>
      <c r="E154" s="73"/>
      <c r="F154" s="73"/>
      <c r="G154" s="73"/>
      <c r="H154" s="73"/>
    </row>
    <row r="155" spans="1:8" ht="10.5">
      <c r="A155" s="73"/>
      <c r="B155" s="73"/>
      <c r="C155" s="73"/>
      <c r="D155" s="73"/>
      <c r="E155" s="73"/>
      <c r="F155" s="73"/>
      <c r="G155" s="73"/>
      <c r="H155" s="73"/>
    </row>
    <row r="156" spans="1:8" ht="10.5">
      <c r="A156" s="73"/>
      <c r="B156" s="73"/>
      <c r="C156" s="73"/>
      <c r="D156" s="73"/>
      <c r="E156" s="73"/>
      <c r="F156" s="73"/>
      <c r="G156" s="73"/>
      <c r="H156" s="73"/>
    </row>
    <row r="157" spans="1:8" ht="10.5">
      <c r="A157" s="73"/>
      <c r="B157" s="73"/>
      <c r="C157" s="73"/>
      <c r="D157" s="73"/>
      <c r="E157" s="73"/>
      <c r="F157" s="73"/>
      <c r="G157" s="73"/>
      <c r="H157" s="73"/>
    </row>
    <row r="158" spans="1:8" ht="10.5">
      <c r="A158" s="73"/>
      <c r="B158" s="73"/>
      <c r="C158" s="73"/>
      <c r="D158" s="73"/>
      <c r="E158" s="73"/>
      <c r="F158" s="73"/>
      <c r="G158" s="73"/>
      <c r="H158" s="73"/>
    </row>
    <row r="159" spans="1:8" ht="10.5">
      <c r="A159" s="73"/>
      <c r="B159" s="73"/>
      <c r="C159" s="73"/>
      <c r="D159" s="73"/>
      <c r="E159" s="73"/>
      <c r="F159" s="73"/>
      <c r="G159" s="73"/>
      <c r="H159" s="73"/>
    </row>
    <row r="160" spans="1:8" ht="10.5">
      <c r="A160" s="73"/>
      <c r="B160" s="73"/>
      <c r="C160" s="73"/>
      <c r="D160" s="73"/>
      <c r="E160" s="73"/>
      <c r="F160" s="73"/>
      <c r="G160" s="73"/>
      <c r="H160" s="73"/>
    </row>
    <row r="161" spans="1:8" ht="10.5">
      <c r="A161" s="73"/>
      <c r="B161" s="73"/>
      <c r="C161" s="73"/>
      <c r="D161" s="73"/>
      <c r="E161" s="73"/>
      <c r="F161" s="73"/>
      <c r="G161" s="73"/>
      <c r="H161" s="73"/>
    </row>
    <row r="162" spans="1:8" ht="10.5">
      <c r="A162" s="73"/>
      <c r="B162" s="73"/>
      <c r="C162" s="73"/>
      <c r="D162" s="73"/>
      <c r="E162" s="73"/>
      <c r="F162" s="73"/>
      <c r="G162" s="73"/>
      <c r="H162" s="73"/>
    </row>
    <row r="163" spans="1:8" ht="10.5">
      <c r="A163" s="73"/>
      <c r="B163" s="73"/>
      <c r="C163" s="73"/>
      <c r="D163" s="73"/>
      <c r="E163" s="73"/>
      <c r="F163" s="73"/>
      <c r="G163" s="73"/>
      <c r="H163" s="73"/>
    </row>
    <row r="164" spans="1:8" ht="10.5">
      <c r="A164" s="73"/>
      <c r="B164" s="73"/>
      <c r="C164" s="73"/>
      <c r="D164" s="73"/>
      <c r="E164" s="73"/>
      <c r="F164" s="73"/>
      <c r="G164" s="73"/>
      <c r="H164" s="73"/>
    </row>
    <row r="165" spans="1:8" ht="10.5">
      <c r="A165" s="73"/>
      <c r="B165" s="73"/>
      <c r="C165" s="73"/>
      <c r="D165" s="73"/>
      <c r="E165" s="73"/>
      <c r="F165" s="73"/>
      <c r="G165" s="73"/>
      <c r="H165" s="73"/>
    </row>
    <row r="166" spans="1:8" ht="10.5">
      <c r="A166" s="73"/>
      <c r="B166" s="73"/>
      <c r="C166" s="73"/>
      <c r="D166" s="73"/>
      <c r="E166" s="73"/>
      <c r="F166" s="73"/>
      <c r="G166" s="73"/>
      <c r="H166" s="73"/>
    </row>
    <row r="167" spans="1:8" ht="10.5">
      <c r="A167" s="73"/>
      <c r="B167" s="73"/>
      <c r="C167" s="73"/>
      <c r="D167" s="73"/>
      <c r="E167" s="73"/>
      <c r="F167" s="73"/>
      <c r="G167" s="73"/>
      <c r="H167" s="73"/>
    </row>
    <row r="168" spans="1:8" ht="10.5">
      <c r="A168" s="73"/>
      <c r="B168" s="73"/>
      <c r="C168" s="73"/>
      <c r="D168" s="73"/>
      <c r="E168" s="73"/>
      <c r="F168" s="73"/>
      <c r="G168" s="73"/>
      <c r="H168" s="73"/>
    </row>
    <row r="169" spans="1:8" ht="10.5">
      <c r="A169" s="73"/>
      <c r="B169" s="73"/>
      <c r="C169" s="73"/>
      <c r="D169" s="73"/>
      <c r="E169" s="73"/>
      <c r="F169" s="73"/>
      <c r="G169" s="73"/>
      <c r="H169" s="73"/>
    </row>
    <row r="170" spans="1:8" ht="10.5">
      <c r="A170" s="73"/>
      <c r="B170" s="73"/>
      <c r="C170" s="73"/>
      <c r="D170" s="73"/>
      <c r="E170" s="73"/>
      <c r="F170" s="73"/>
      <c r="G170" s="73"/>
      <c r="H170" s="73"/>
    </row>
    <row r="171" spans="1:8" ht="10.5">
      <c r="A171" s="73"/>
      <c r="B171" s="73"/>
      <c r="C171" s="73"/>
      <c r="D171" s="73"/>
      <c r="E171" s="73"/>
      <c r="F171" s="73"/>
      <c r="G171" s="73"/>
      <c r="H171" s="73"/>
    </row>
    <row r="172" spans="1:8" ht="10.5">
      <c r="A172" s="73"/>
      <c r="B172" s="73"/>
      <c r="C172" s="73"/>
      <c r="D172" s="73"/>
      <c r="E172" s="73"/>
      <c r="F172" s="73"/>
      <c r="G172" s="73"/>
      <c r="H172" s="73"/>
    </row>
    <row r="173" spans="1:8" ht="10.5">
      <c r="A173" s="73"/>
      <c r="B173" s="73"/>
      <c r="C173" s="73"/>
      <c r="D173" s="73"/>
      <c r="E173" s="73"/>
      <c r="F173" s="73"/>
      <c r="G173" s="73"/>
      <c r="H173" s="73"/>
    </row>
    <row r="174" spans="1:8" ht="10.5">
      <c r="A174" s="73"/>
      <c r="B174" s="73"/>
      <c r="C174" s="73"/>
      <c r="D174" s="73"/>
      <c r="E174" s="73"/>
      <c r="F174" s="73"/>
      <c r="G174" s="73"/>
      <c r="H174" s="73"/>
    </row>
    <row r="175" spans="1:8" ht="10.5">
      <c r="A175" s="73"/>
      <c r="B175" s="73"/>
      <c r="C175" s="73"/>
      <c r="D175" s="73"/>
      <c r="E175" s="73"/>
      <c r="F175" s="73"/>
      <c r="G175" s="73"/>
      <c r="H175" s="73"/>
    </row>
    <row r="176" spans="1:8" ht="10.5">
      <c r="A176" s="73"/>
      <c r="B176" s="73"/>
      <c r="C176" s="73"/>
      <c r="D176" s="73"/>
      <c r="E176" s="73"/>
      <c r="F176" s="73"/>
      <c r="G176" s="73"/>
      <c r="H176" s="73"/>
    </row>
    <row r="177" spans="1:8" ht="10.5">
      <c r="A177" s="73"/>
      <c r="B177" s="73"/>
      <c r="C177" s="73"/>
      <c r="D177" s="73"/>
      <c r="E177" s="73"/>
      <c r="F177" s="73"/>
      <c r="G177" s="73"/>
      <c r="H177" s="73"/>
    </row>
    <row r="178" spans="1:8" ht="10.5">
      <c r="A178" s="73"/>
      <c r="B178" s="73"/>
      <c r="C178" s="73"/>
      <c r="D178" s="73"/>
      <c r="E178" s="73"/>
      <c r="F178" s="73"/>
      <c r="G178" s="73"/>
      <c r="H178" s="73"/>
    </row>
    <row r="179" spans="1:8" ht="10.5">
      <c r="A179" s="73"/>
      <c r="B179" s="73"/>
      <c r="C179" s="73"/>
      <c r="D179" s="73"/>
      <c r="E179" s="73"/>
      <c r="F179" s="73"/>
      <c r="G179" s="73"/>
      <c r="H179" s="73"/>
    </row>
    <row r="180" spans="1:8" ht="10.5">
      <c r="A180" s="73"/>
      <c r="B180" s="73"/>
      <c r="C180" s="73"/>
      <c r="D180" s="73"/>
      <c r="E180" s="73"/>
      <c r="F180" s="73"/>
      <c r="G180" s="73"/>
      <c r="H180" s="73"/>
    </row>
    <row r="181" spans="1:8" ht="10.5">
      <c r="A181" s="73"/>
      <c r="B181" s="73"/>
      <c r="C181" s="73"/>
      <c r="D181" s="73"/>
      <c r="E181" s="73"/>
      <c r="F181" s="73"/>
      <c r="G181" s="73"/>
      <c r="H181" s="73"/>
    </row>
    <row r="182" spans="1:8" ht="10.5">
      <c r="A182" s="73"/>
      <c r="B182" s="73"/>
      <c r="C182" s="73"/>
      <c r="D182" s="73"/>
      <c r="E182" s="73"/>
      <c r="F182" s="73"/>
      <c r="G182" s="73"/>
      <c r="H182" s="73"/>
    </row>
    <row r="183" spans="1:8" ht="10.5">
      <c r="A183" s="73"/>
      <c r="B183" s="73"/>
      <c r="C183" s="73"/>
      <c r="D183" s="73"/>
      <c r="E183" s="73"/>
      <c r="F183" s="73"/>
      <c r="G183" s="73"/>
      <c r="H183" s="73"/>
    </row>
    <row r="184" spans="1:8" ht="10.5">
      <c r="A184" s="73"/>
      <c r="B184" s="73"/>
      <c r="C184" s="73"/>
      <c r="D184" s="73"/>
      <c r="E184" s="73"/>
      <c r="F184" s="73"/>
      <c r="G184" s="73"/>
      <c r="H184" s="73"/>
    </row>
    <row r="185" spans="1:8" ht="10.5">
      <c r="A185" s="73"/>
      <c r="B185" s="73"/>
      <c r="C185" s="73"/>
      <c r="D185" s="73"/>
      <c r="E185" s="73"/>
      <c r="F185" s="73"/>
      <c r="G185" s="73"/>
      <c r="H185" s="73"/>
    </row>
    <row r="186" spans="1:8" ht="10.5">
      <c r="A186" s="73"/>
      <c r="B186" s="73"/>
      <c r="C186" s="73"/>
      <c r="D186" s="73"/>
      <c r="E186" s="73"/>
      <c r="F186" s="73"/>
      <c r="G186" s="73"/>
      <c r="H186" s="73"/>
    </row>
    <row r="187" spans="1:8" ht="10.5">
      <c r="A187" s="73"/>
      <c r="B187" s="73"/>
      <c r="C187" s="73"/>
      <c r="D187" s="73"/>
      <c r="E187" s="73"/>
      <c r="F187" s="73"/>
      <c r="G187" s="73"/>
      <c r="H187" s="73"/>
    </row>
    <row r="188" spans="1:8" ht="10.5">
      <c r="A188" s="73"/>
      <c r="B188" s="73"/>
      <c r="C188" s="73"/>
      <c r="D188" s="73"/>
      <c r="E188" s="73"/>
      <c r="F188" s="73"/>
      <c r="G188" s="73"/>
      <c r="H188" s="73"/>
    </row>
    <row r="189" spans="1:8" ht="10.5">
      <c r="A189" s="73"/>
      <c r="B189" s="73"/>
      <c r="C189" s="73"/>
      <c r="D189" s="73"/>
      <c r="E189" s="73"/>
      <c r="F189" s="73"/>
      <c r="G189" s="73"/>
      <c r="H189" s="73"/>
    </row>
    <row r="190" spans="1:8" ht="10.5">
      <c r="A190" s="73"/>
      <c r="B190" s="73"/>
      <c r="C190" s="73"/>
      <c r="D190" s="73"/>
      <c r="E190" s="73"/>
      <c r="F190" s="73"/>
      <c r="G190" s="73"/>
      <c r="H190" s="73"/>
    </row>
    <row r="191" spans="1:8" ht="10.5">
      <c r="A191" s="73"/>
      <c r="B191" s="73"/>
      <c r="C191" s="73"/>
      <c r="D191" s="73"/>
      <c r="E191" s="73"/>
      <c r="F191" s="73"/>
      <c r="G191" s="73"/>
      <c r="H191" s="73"/>
    </row>
    <row r="192" spans="1:8" ht="10.5">
      <c r="A192" s="73"/>
      <c r="B192" s="73"/>
      <c r="C192" s="73"/>
      <c r="D192" s="73"/>
      <c r="E192" s="73"/>
      <c r="F192" s="73"/>
      <c r="G192" s="73"/>
      <c r="H192" s="73"/>
    </row>
    <row r="193" spans="1:8" ht="10.5">
      <c r="A193" s="73"/>
      <c r="B193" s="73"/>
      <c r="C193" s="73"/>
      <c r="D193" s="73"/>
      <c r="E193" s="73"/>
      <c r="F193" s="73"/>
      <c r="G193" s="73"/>
      <c r="H193" s="73"/>
    </row>
    <row r="194" spans="1:8" ht="10.5">
      <c r="A194" s="73"/>
      <c r="B194" s="73"/>
      <c r="C194" s="73"/>
      <c r="D194" s="73"/>
      <c r="E194" s="73"/>
      <c r="F194" s="73"/>
      <c r="G194" s="73"/>
      <c r="H194" s="73"/>
    </row>
    <row r="195" spans="1:8" ht="10.5">
      <c r="A195" s="73"/>
      <c r="B195" s="73"/>
      <c r="C195" s="73"/>
      <c r="D195" s="73"/>
      <c r="E195" s="73"/>
      <c r="F195" s="73"/>
      <c r="G195" s="73"/>
      <c r="H195" s="73"/>
    </row>
    <row r="196" spans="1:8" ht="10.5">
      <c r="A196" s="73"/>
      <c r="B196" s="73"/>
      <c r="C196" s="73"/>
      <c r="D196" s="73"/>
      <c r="E196" s="73"/>
      <c r="F196" s="73"/>
      <c r="G196" s="73"/>
      <c r="H196" s="73"/>
    </row>
    <row r="197" spans="1:8" ht="10.5">
      <c r="A197" s="73"/>
      <c r="B197" s="73"/>
      <c r="C197" s="73"/>
      <c r="D197" s="73"/>
      <c r="E197" s="73"/>
      <c r="F197" s="73"/>
      <c r="G197" s="73"/>
      <c r="H197" s="73"/>
    </row>
    <row r="198" spans="1:8" ht="10.5">
      <c r="A198" s="73"/>
      <c r="B198" s="73"/>
      <c r="C198" s="73"/>
      <c r="D198" s="73"/>
      <c r="E198" s="73"/>
      <c r="F198" s="73"/>
      <c r="G198" s="73"/>
      <c r="H198" s="73"/>
    </row>
    <row r="199" spans="1:8" ht="10.5">
      <c r="A199" s="73"/>
      <c r="B199" s="73"/>
      <c r="C199" s="73"/>
      <c r="D199" s="73"/>
      <c r="E199" s="73"/>
      <c r="F199" s="73"/>
      <c r="G199" s="73"/>
      <c r="H199" s="73"/>
    </row>
    <row r="200" spans="1:8" ht="10.5">
      <c r="A200" s="73"/>
      <c r="B200" s="73"/>
      <c r="C200" s="73"/>
      <c r="D200" s="73"/>
      <c r="E200" s="73"/>
      <c r="F200" s="73"/>
      <c r="G200" s="73"/>
      <c r="H200" s="73"/>
    </row>
    <row r="201" spans="1:8" ht="10.5">
      <c r="A201" s="73"/>
      <c r="B201" s="73"/>
      <c r="C201" s="73"/>
      <c r="D201" s="73"/>
      <c r="E201" s="73"/>
      <c r="F201" s="73"/>
      <c r="G201" s="73"/>
      <c r="H201" s="73"/>
    </row>
    <row r="202" spans="1:8" ht="10.5">
      <c r="A202" s="73"/>
      <c r="B202" s="73"/>
      <c r="C202" s="73"/>
      <c r="D202" s="73"/>
      <c r="E202" s="73"/>
      <c r="F202" s="73"/>
      <c r="G202" s="73"/>
      <c r="H202" s="73"/>
    </row>
    <row r="203" spans="1:8" ht="10.5">
      <c r="A203" s="73"/>
      <c r="B203" s="73"/>
      <c r="C203" s="73"/>
      <c r="D203" s="73"/>
      <c r="E203" s="73"/>
      <c r="F203" s="73"/>
      <c r="G203" s="73"/>
      <c r="H203" s="73"/>
    </row>
  </sheetData>
  <sheetProtection password="8318" sheet="1"/>
  <mergeCells count="33">
    <mergeCell ref="A4:H4"/>
    <mergeCell ref="A29:B29"/>
    <mergeCell ref="A12:B12"/>
    <mergeCell ref="A8:B8"/>
    <mergeCell ref="A13:B13"/>
    <mergeCell ref="A17:B17"/>
    <mergeCell ref="A21:B21"/>
    <mergeCell ref="A25:B25"/>
    <mergeCell ref="A84:B84"/>
    <mergeCell ref="A45:B45"/>
    <mergeCell ref="A69:B69"/>
    <mergeCell ref="A75:B75"/>
    <mergeCell ref="A82:B82"/>
    <mergeCell ref="A57:B57"/>
    <mergeCell ref="A76:B76"/>
    <mergeCell ref="A77:B77"/>
    <mergeCell ref="A50:B50"/>
    <mergeCell ref="A64:B64"/>
    <mergeCell ref="A58:B58"/>
    <mergeCell ref="A46:B46"/>
    <mergeCell ref="A48:B48"/>
    <mergeCell ref="A80:B80"/>
    <mergeCell ref="A66:B66"/>
    <mergeCell ref="A70:B70"/>
    <mergeCell ref="A71:B71"/>
    <mergeCell ref="A60:B60"/>
    <mergeCell ref="A62:B62"/>
    <mergeCell ref="A32:B32"/>
    <mergeCell ref="A41:B41"/>
    <mergeCell ref="A54:B54"/>
    <mergeCell ref="A33:B33"/>
    <mergeCell ref="A37:B37"/>
    <mergeCell ref="A52:B52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/>
  <headerFooter alignWithMargins="0">
    <oddFooter>&amp;C&amp;"Arial,Normal"&amp;8IAPMEI&amp;R&amp;"Arial,Normal"&amp;8&amp;P</oddFooter>
  </headerFooter>
  <rowBreaks count="1" manualBreakCount="1">
    <brk id="56" max="255" man="1"/>
  </rowBreaks>
  <ignoredErrors>
    <ignoredError sqref="D52:H52 D50:H50 E16:H16 D20 D26 E26:H28 D28 E8:H8 E18:H18 D18 E22:H24 D22 D24 B72 B78 D8 E48:H48 E20:H20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2"/>
  <dimension ref="A1:I140"/>
  <sheetViews>
    <sheetView showGridLines="0" showZeros="0" zoomScale="150" zoomScaleNormal="150" workbookViewId="0" topLeftCell="A1">
      <selection activeCell="C20" sqref="C20"/>
    </sheetView>
  </sheetViews>
  <sheetFormatPr defaultColWidth="8.7109375" defaultRowHeight="12.75"/>
  <cols>
    <col min="1" max="1" width="40.421875" style="56" customWidth="1"/>
    <col min="2" max="2" width="7.8515625" style="56" customWidth="1"/>
    <col min="3" max="14" width="11.421875" style="56" customWidth="1"/>
    <col min="15" max="16384" width="8.7109375" style="56" customWidth="1"/>
  </cols>
  <sheetData>
    <row r="1" spans="1:8" ht="13.5">
      <c r="A1" s="52"/>
      <c r="B1" s="52"/>
      <c r="C1" s="53"/>
      <c r="D1" s="53"/>
      <c r="E1" s="53"/>
      <c r="F1" s="53"/>
      <c r="G1" s="54" t="s">
        <v>18</v>
      </c>
      <c r="H1" s="55" t="str">
        <f>+Pressupostos!E1</f>
        <v>XPTO, Lda</v>
      </c>
    </row>
    <row r="2" spans="1:9" ht="13.5">
      <c r="A2" s="57"/>
      <c r="B2" s="53"/>
      <c r="C2" s="53"/>
      <c r="D2" s="53"/>
      <c r="E2" s="53"/>
      <c r="F2" s="53"/>
      <c r="G2" s="53"/>
      <c r="H2" s="58" t="str">
        <f>+Pressupostos!B9</f>
        <v>Euros</v>
      </c>
      <c r="I2" s="73"/>
    </row>
    <row r="3" spans="1:9" ht="13.5">
      <c r="A3" s="57"/>
      <c r="B3" s="53"/>
      <c r="C3" s="53"/>
      <c r="D3" s="53"/>
      <c r="E3" s="53"/>
      <c r="F3" s="53"/>
      <c r="G3" s="53"/>
      <c r="H3" s="58"/>
      <c r="I3" s="73"/>
    </row>
    <row r="4" spans="1:9" ht="15.75">
      <c r="A4" s="511" t="s">
        <v>71</v>
      </c>
      <c r="B4" s="511"/>
      <c r="C4" s="511"/>
      <c r="D4" s="511"/>
      <c r="E4" s="511"/>
      <c r="F4" s="511"/>
      <c r="G4" s="511"/>
      <c r="H4" s="511"/>
      <c r="I4" s="73"/>
    </row>
    <row r="5" spans="1:9" ht="10.5">
      <c r="A5" s="59"/>
      <c r="B5" s="59"/>
      <c r="C5" s="59"/>
      <c r="D5" s="59"/>
      <c r="E5" s="59"/>
      <c r="F5" s="59"/>
      <c r="G5" s="59"/>
      <c r="H5" s="59"/>
      <c r="I5" s="73"/>
    </row>
    <row r="6" spans="1:9" ht="10.5">
      <c r="A6" s="63"/>
      <c r="B6" s="63"/>
      <c r="C6" s="63"/>
      <c r="D6" s="63"/>
      <c r="E6" s="63"/>
      <c r="F6" s="63"/>
      <c r="G6" s="63"/>
      <c r="H6" s="63"/>
      <c r="I6" s="73"/>
    </row>
    <row r="7" spans="1:9" ht="19.5">
      <c r="A7" s="86" t="s">
        <v>20</v>
      </c>
      <c r="B7" s="87" t="s">
        <v>66</v>
      </c>
      <c r="C7" s="88">
        <f>+VN!C8</f>
        <v>2017</v>
      </c>
      <c r="D7" s="88">
        <f>+VN!D8</f>
        <v>2018</v>
      </c>
      <c r="E7" s="88">
        <f>+VN!E8</f>
        <v>2019</v>
      </c>
      <c r="F7" s="88">
        <f>+VN!F8</f>
        <v>2020</v>
      </c>
      <c r="G7" s="88">
        <f>+VN!G8</f>
        <v>2021</v>
      </c>
      <c r="H7" s="88">
        <f>+VN!H8</f>
        <v>2022</v>
      </c>
      <c r="I7" s="73"/>
    </row>
    <row r="8" spans="1:9" ht="10.5">
      <c r="A8" s="86" t="s">
        <v>215</v>
      </c>
      <c r="B8" s="397"/>
      <c r="C8" s="398">
        <f aca="true" t="shared" si="0" ref="C8:H8">+SUM(C9:C12)</f>
        <v>75600</v>
      </c>
      <c r="D8" s="398">
        <f t="shared" si="0"/>
        <v>76500</v>
      </c>
      <c r="E8" s="398">
        <f t="shared" si="0"/>
        <v>77411.88000000002</v>
      </c>
      <c r="F8" s="398">
        <f t="shared" si="0"/>
        <v>78335.81640000001</v>
      </c>
      <c r="G8" s="398">
        <f t="shared" si="0"/>
        <v>79271.98851600001</v>
      </c>
      <c r="H8" s="398">
        <f t="shared" si="0"/>
        <v>80220.57863220002</v>
      </c>
      <c r="I8" s="73"/>
    </row>
    <row r="9" spans="1:9" ht="10.5">
      <c r="A9" s="89" t="str">
        <f>+VN!A13</f>
        <v>Produto A *</v>
      </c>
      <c r="B9" s="36">
        <v>0.7</v>
      </c>
      <c r="C9" s="399">
        <f>VN!C13*(1-CMVMC!$B$9)</f>
        <v>61200.00000000001</v>
      </c>
      <c r="D9" s="399">
        <f>VN!D13*(1-CMVMC!$B$9)</f>
        <v>61812.00000000001</v>
      </c>
      <c r="E9" s="399">
        <f>VN!E13*(1-CMVMC!$B$9)</f>
        <v>62430.12000000002</v>
      </c>
      <c r="F9" s="399">
        <f>VN!F13*(1-CMVMC!$B$9)</f>
        <v>63054.42120000001</v>
      </c>
      <c r="G9" s="399">
        <f>VN!G13*(1-CMVMC!$B$9)</f>
        <v>63684.96541200002</v>
      </c>
      <c r="H9" s="399">
        <f>VN!H13*(1-CMVMC!$B$9)</f>
        <v>64321.81506612002</v>
      </c>
      <c r="I9" s="73"/>
    </row>
    <row r="10" spans="1:9" ht="10.5">
      <c r="A10" s="89" t="str">
        <f>+VN!A17</f>
        <v>Produto B *</v>
      </c>
      <c r="B10" s="36">
        <v>0.8</v>
      </c>
      <c r="C10" s="399">
        <f>VN!C17*(1-CMVMC!$B$10)</f>
        <v>14399.999999999996</v>
      </c>
      <c r="D10" s="399">
        <f>VN!D17*(1-CMVMC!$B$10)</f>
        <v>14687.999999999996</v>
      </c>
      <c r="E10" s="399">
        <f>VN!E17*(1-CMVMC!$B$10)</f>
        <v>14981.759999999997</v>
      </c>
      <c r="F10" s="399">
        <f>VN!F17*(1-CMVMC!$B$10)</f>
        <v>15281.395199999999</v>
      </c>
      <c r="G10" s="399">
        <f>VN!G17*(1-CMVMC!$B$10)</f>
        <v>15587.023104</v>
      </c>
      <c r="H10" s="399">
        <f>VN!H17*(1-CMVMC!$B$10)</f>
        <v>15898.76356608</v>
      </c>
      <c r="I10" s="73"/>
    </row>
    <row r="11" spans="1:9" ht="10.5">
      <c r="A11" s="89" t="str">
        <f>+VN!A21</f>
        <v>Produto C *</v>
      </c>
      <c r="B11" s="36"/>
      <c r="C11" s="399">
        <f>VN!C21*(1-CMVMC!$B$11)</f>
        <v>0</v>
      </c>
      <c r="D11" s="399">
        <f>VN!D21*(1-CMVMC!$B$11)</f>
        <v>0</v>
      </c>
      <c r="E11" s="399">
        <f>VN!E21*(1-CMVMC!$B$11)</f>
        <v>0</v>
      </c>
      <c r="F11" s="399">
        <f>VN!F21*(1-CMVMC!$B$11)</f>
        <v>0</v>
      </c>
      <c r="G11" s="399">
        <f>VN!G21*(1-CMVMC!$B$11)</f>
        <v>0</v>
      </c>
      <c r="H11" s="399">
        <f>VN!H21*(1-CMVMC!$B$11)</f>
        <v>0</v>
      </c>
      <c r="I11" s="73"/>
    </row>
    <row r="12" spans="1:9" ht="10.5">
      <c r="A12" s="89" t="str">
        <f>+VN!A25</f>
        <v>Produto D *</v>
      </c>
      <c r="B12" s="36"/>
      <c r="C12" s="399">
        <f>VN!C25*(1-CMVMC!$B$12)</f>
        <v>0</v>
      </c>
      <c r="D12" s="399">
        <f>VN!D25*(1-CMVMC!$B$12)</f>
        <v>0</v>
      </c>
      <c r="E12" s="399">
        <f>VN!E25*(1-CMVMC!$B$12)</f>
        <v>0</v>
      </c>
      <c r="F12" s="399">
        <f>VN!F25*(1-CMVMC!$B$12)</f>
        <v>0</v>
      </c>
      <c r="G12" s="399">
        <f>VN!G25*(1-CMVMC!$B$12)</f>
        <v>0</v>
      </c>
      <c r="H12" s="399">
        <f>VN!H25*(1-CMVMC!$B$12)</f>
        <v>0</v>
      </c>
      <c r="I12" s="73"/>
    </row>
    <row r="13" spans="1:9" ht="10.5">
      <c r="A13" s="86" t="s">
        <v>216</v>
      </c>
      <c r="B13" s="90"/>
      <c r="C13" s="124">
        <f aca="true" t="shared" si="1" ref="C13:H13">+C15+C14</f>
        <v>0</v>
      </c>
      <c r="D13" s="124">
        <f t="shared" si="1"/>
        <v>0</v>
      </c>
      <c r="E13" s="124">
        <f t="shared" si="1"/>
        <v>0</v>
      </c>
      <c r="F13" s="124">
        <f t="shared" si="1"/>
        <v>0</v>
      </c>
      <c r="G13" s="124">
        <f t="shared" si="1"/>
        <v>0</v>
      </c>
      <c r="H13" s="124">
        <f t="shared" si="1"/>
        <v>0</v>
      </c>
      <c r="I13" s="73"/>
    </row>
    <row r="14" spans="1:9" ht="10.5">
      <c r="A14" s="89" t="str">
        <f>+VN!A33</f>
        <v>Produto A *</v>
      </c>
      <c r="B14" s="36"/>
      <c r="C14" s="399">
        <f>VN!C33*(1-CMVMC!$B$14)</f>
        <v>0</v>
      </c>
      <c r="D14" s="399">
        <f>VN!D33*(1-CMVMC!$B$14)</f>
        <v>0</v>
      </c>
      <c r="E14" s="399">
        <f>VN!E33*(1-CMVMC!$B$14)</f>
        <v>0</v>
      </c>
      <c r="F14" s="399">
        <f>VN!F33*(1-CMVMC!$B$14)</f>
        <v>0</v>
      </c>
      <c r="G14" s="399">
        <f>VN!G33*(1-CMVMC!$B$14)</f>
        <v>0</v>
      </c>
      <c r="H14" s="399">
        <f>VN!H33*(1-CMVMC!$B$14)</f>
        <v>0</v>
      </c>
      <c r="I14" s="73"/>
    </row>
    <row r="15" spans="1:9" ht="10.5">
      <c r="A15" s="89" t="str">
        <f>+VN!A37</f>
        <v>Produto B *</v>
      </c>
      <c r="B15" s="36"/>
      <c r="C15" s="399">
        <f>VN!C37*(1-CMVMC!$B$15)</f>
        <v>0</v>
      </c>
      <c r="D15" s="399">
        <f>VN!D37*(1-CMVMC!$B$15)</f>
        <v>0</v>
      </c>
      <c r="E15" s="399">
        <f>VN!E37*(1-CMVMC!$B$15)</f>
        <v>0</v>
      </c>
      <c r="F15" s="399">
        <f>VN!F37*(1-CMVMC!$B$15)</f>
        <v>0</v>
      </c>
      <c r="G15" s="399">
        <f>VN!G37*(1-CMVMC!$B$15)</f>
        <v>0</v>
      </c>
      <c r="H15" s="399">
        <f>VN!H37*(1-CMVMC!$B$15)</f>
        <v>0</v>
      </c>
      <c r="I15" s="73"/>
    </row>
    <row r="16" spans="1:9" ht="12" thickBot="1">
      <c r="A16" s="506" t="s">
        <v>67</v>
      </c>
      <c r="B16" s="506"/>
      <c r="C16" s="400">
        <f aca="true" t="shared" si="2" ref="C16:H16">+C8+C13</f>
        <v>75600</v>
      </c>
      <c r="D16" s="400">
        <f t="shared" si="2"/>
        <v>76500</v>
      </c>
      <c r="E16" s="400">
        <f t="shared" si="2"/>
        <v>77411.88000000002</v>
      </c>
      <c r="F16" s="400">
        <f t="shared" si="2"/>
        <v>78335.81640000001</v>
      </c>
      <c r="G16" s="400">
        <f t="shared" si="2"/>
        <v>79271.98851600001</v>
      </c>
      <c r="H16" s="400">
        <f t="shared" si="2"/>
        <v>80220.57863220002</v>
      </c>
      <c r="I16" s="73"/>
    </row>
    <row r="17" spans="1:9" ht="12" thickTop="1">
      <c r="A17" s="66"/>
      <c r="B17" s="66"/>
      <c r="C17" s="67"/>
      <c r="D17" s="67"/>
      <c r="E17" s="67"/>
      <c r="F17" s="67"/>
      <c r="G17" s="67"/>
      <c r="H17" s="67"/>
      <c r="I17" s="73"/>
    </row>
    <row r="18" spans="1:9" ht="12" thickBot="1">
      <c r="A18" s="68" t="s">
        <v>62</v>
      </c>
      <c r="B18" s="456">
        <f>+Pressupostos!B20</f>
        <v>0.06</v>
      </c>
      <c r="C18" s="91">
        <f aca="true" t="shared" si="3" ref="C18:H18">+C8*$B$18</f>
        <v>4536</v>
      </c>
      <c r="D18" s="91">
        <f t="shared" si="3"/>
        <v>4590</v>
      </c>
      <c r="E18" s="91">
        <f t="shared" si="3"/>
        <v>4644.712800000001</v>
      </c>
      <c r="F18" s="91">
        <f t="shared" si="3"/>
        <v>4700.148984</v>
      </c>
      <c r="G18" s="91">
        <f t="shared" si="3"/>
        <v>4756.319310960001</v>
      </c>
      <c r="H18" s="91">
        <f t="shared" si="3"/>
        <v>4813.234717932001</v>
      </c>
      <c r="I18" s="73"/>
    </row>
    <row r="19" spans="1:9" ht="12" thickTop="1">
      <c r="A19" s="63"/>
      <c r="B19" s="63"/>
      <c r="C19" s="63"/>
      <c r="D19" s="63"/>
      <c r="E19" s="63"/>
      <c r="F19" s="63"/>
      <c r="G19" s="63"/>
      <c r="H19" s="63"/>
      <c r="I19" s="73"/>
    </row>
    <row r="20" spans="1:9" ht="12" thickBot="1">
      <c r="A20" s="506" t="s">
        <v>68</v>
      </c>
      <c r="B20" s="506"/>
      <c r="C20" s="40">
        <f aca="true" t="shared" si="4" ref="C20:H20">+C16+C18</f>
        <v>80136</v>
      </c>
      <c r="D20" s="40">
        <f t="shared" si="4"/>
        <v>81090</v>
      </c>
      <c r="E20" s="40">
        <f t="shared" si="4"/>
        <v>82056.59280000001</v>
      </c>
      <c r="F20" s="40">
        <f t="shared" si="4"/>
        <v>83035.96538400001</v>
      </c>
      <c r="G20" s="40">
        <f t="shared" si="4"/>
        <v>84028.30782696001</v>
      </c>
      <c r="H20" s="40">
        <f t="shared" si="4"/>
        <v>85033.81335013203</v>
      </c>
      <c r="I20" s="73"/>
    </row>
    <row r="21" spans="1:9" ht="12" thickTop="1">
      <c r="A21" s="63"/>
      <c r="B21" s="63"/>
      <c r="C21" s="63"/>
      <c r="D21" s="63"/>
      <c r="E21" s="63"/>
      <c r="F21" s="63"/>
      <c r="G21" s="63"/>
      <c r="H21" s="63"/>
      <c r="I21" s="73"/>
    </row>
    <row r="22" spans="1:9" ht="10.5">
      <c r="A22" s="63"/>
      <c r="B22" s="63"/>
      <c r="C22" s="63"/>
      <c r="D22" s="63"/>
      <c r="E22" s="63"/>
      <c r="F22" s="63"/>
      <c r="G22" s="63"/>
      <c r="H22" s="63"/>
      <c r="I22" s="73"/>
    </row>
    <row r="23" spans="1:9" ht="10.5">
      <c r="A23" s="92" t="s">
        <v>152</v>
      </c>
      <c r="B23" s="63"/>
      <c r="C23" s="63"/>
      <c r="D23" s="63"/>
      <c r="E23" s="63"/>
      <c r="F23" s="63"/>
      <c r="G23" s="63"/>
      <c r="H23" s="63"/>
      <c r="I23" s="73"/>
    </row>
    <row r="24" spans="1:9" ht="10.5">
      <c r="A24" s="93" t="s">
        <v>217</v>
      </c>
      <c r="B24" s="63"/>
      <c r="C24" s="63"/>
      <c r="D24" s="63"/>
      <c r="E24" s="63"/>
      <c r="F24" s="63"/>
      <c r="G24" s="63"/>
      <c r="H24" s="63"/>
      <c r="I24" s="73"/>
    </row>
    <row r="25" spans="1:9" ht="10.5">
      <c r="A25" s="93" t="s">
        <v>153</v>
      </c>
      <c r="B25" s="63"/>
      <c r="C25" s="63"/>
      <c r="D25" s="63"/>
      <c r="E25" s="63"/>
      <c r="F25" s="63"/>
      <c r="G25" s="63"/>
      <c r="H25" s="63"/>
      <c r="I25" s="73"/>
    </row>
    <row r="26" spans="1:9" ht="10.5">
      <c r="A26" s="93" t="s">
        <v>190</v>
      </c>
      <c r="B26" s="63"/>
      <c r="C26" s="63"/>
      <c r="D26" s="63"/>
      <c r="E26" s="63"/>
      <c r="F26" s="63"/>
      <c r="G26" s="63"/>
      <c r="H26" s="63"/>
      <c r="I26" s="73"/>
    </row>
    <row r="27" spans="1:9" ht="10.5">
      <c r="A27" s="93"/>
      <c r="B27" s="63"/>
      <c r="C27" s="63"/>
      <c r="D27" s="63"/>
      <c r="E27" s="63"/>
      <c r="F27" s="63"/>
      <c r="G27" s="63"/>
      <c r="H27" s="63"/>
      <c r="I27" s="73"/>
    </row>
    <row r="28" spans="1:9" ht="10.5">
      <c r="A28" s="92" t="s">
        <v>191</v>
      </c>
      <c r="B28" s="63"/>
      <c r="C28" s="63"/>
      <c r="D28" s="63"/>
      <c r="E28" s="63"/>
      <c r="F28" s="63"/>
      <c r="G28" s="63"/>
      <c r="H28" s="63"/>
      <c r="I28" s="73"/>
    </row>
    <row r="29" spans="1:9" ht="10.5">
      <c r="A29" s="94"/>
      <c r="B29" s="63"/>
      <c r="C29" s="63"/>
      <c r="D29" s="63"/>
      <c r="E29" s="63"/>
      <c r="F29" s="63"/>
      <c r="G29" s="63"/>
      <c r="H29" s="63"/>
      <c r="I29" s="73"/>
    </row>
    <row r="30" spans="1:8" ht="10.5">
      <c r="A30" s="95"/>
      <c r="B30" s="73"/>
      <c r="C30" s="73"/>
      <c r="D30" s="73"/>
      <c r="E30" s="73"/>
      <c r="F30" s="73"/>
      <c r="G30" s="73"/>
      <c r="H30" s="73"/>
    </row>
    <row r="31" spans="1:8" ht="10.5">
      <c r="A31" s="73"/>
      <c r="B31" s="73"/>
      <c r="C31" s="73"/>
      <c r="D31" s="73"/>
      <c r="E31" s="73"/>
      <c r="F31" s="73"/>
      <c r="G31" s="73"/>
      <c r="H31" s="73"/>
    </row>
    <row r="32" spans="1:8" ht="10.5">
      <c r="A32" s="73"/>
      <c r="B32" s="73"/>
      <c r="C32" s="73"/>
      <c r="D32" s="73"/>
      <c r="E32" s="73"/>
      <c r="F32" s="73"/>
      <c r="G32" s="73"/>
      <c r="H32" s="73"/>
    </row>
    <row r="33" spans="1:8" ht="10.5">
      <c r="A33" s="73"/>
      <c r="B33" s="73"/>
      <c r="C33" s="73"/>
      <c r="D33" s="73"/>
      <c r="E33" s="73"/>
      <c r="F33" s="73"/>
      <c r="G33" s="73"/>
      <c r="H33" s="73"/>
    </row>
    <row r="34" spans="1:8" ht="10.5">
      <c r="A34" s="73"/>
      <c r="B34" s="73"/>
      <c r="C34" s="73"/>
      <c r="D34" s="73"/>
      <c r="E34" s="73"/>
      <c r="F34" s="73"/>
      <c r="G34" s="73"/>
      <c r="H34" s="73"/>
    </row>
    <row r="35" spans="1:8" ht="10.5">
      <c r="A35" s="73"/>
      <c r="B35" s="73"/>
      <c r="C35" s="73"/>
      <c r="D35" s="73"/>
      <c r="E35" s="73"/>
      <c r="F35" s="73"/>
      <c r="G35" s="73"/>
      <c r="H35" s="73"/>
    </row>
    <row r="36" spans="1:8" ht="10.5">
      <c r="A36" s="73"/>
      <c r="B36" s="73"/>
      <c r="C36" s="73"/>
      <c r="D36" s="73"/>
      <c r="E36" s="73"/>
      <c r="F36" s="73"/>
      <c r="G36" s="73"/>
      <c r="H36" s="73"/>
    </row>
    <row r="37" spans="1:8" ht="10.5">
      <c r="A37" s="73"/>
      <c r="B37" s="73"/>
      <c r="C37" s="73"/>
      <c r="D37" s="73"/>
      <c r="E37" s="73"/>
      <c r="F37" s="73"/>
      <c r="G37" s="73"/>
      <c r="H37" s="73"/>
    </row>
    <row r="38" spans="1:8" ht="10.5">
      <c r="A38" s="73"/>
      <c r="B38" s="73"/>
      <c r="C38" s="73"/>
      <c r="D38" s="73"/>
      <c r="E38" s="73"/>
      <c r="F38" s="73"/>
      <c r="G38" s="73"/>
      <c r="H38" s="73"/>
    </row>
    <row r="39" spans="1:8" ht="10.5">
      <c r="A39" s="73"/>
      <c r="B39" s="73"/>
      <c r="C39" s="73"/>
      <c r="D39" s="73"/>
      <c r="E39" s="73"/>
      <c r="F39" s="73"/>
      <c r="G39" s="73"/>
      <c r="H39" s="73"/>
    </row>
    <row r="40" spans="1:8" ht="10.5">
      <c r="A40" s="73"/>
      <c r="B40" s="73"/>
      <c r="C40" s="73"/>
      <c r="D40" s="73"/>
      <c r="E40" s="73"/>
      <c r="F40" s="73"/>
      <c r="G40" s="73"/>
      <c r="H40" s="73"/>
    </row>
    <row r="41" spans="1:8" ht="10.5">
      <c r="A41" s="73"/>
      <c r="B41" s="73"/>
      <c r="C41" s="73"/>
      <c r="D41" s="73"/>
      <c r="E41" s="73"/>
      <c r="F41" s="73"/>
      <c r="G41" s="73"/>
      <c r="H41" s="73"/>
    </row>
    <row r="42" spans="1:8" ht="10.5">
      <c r="A42" s="73"/>
      <c r="B42" s="73"/>
      <c r="C42" s="73"/>
      <c r="D42" s="73"/>
      <c r="E42" s="73"/>
      <c r="F42" s="73"/>
      <c r="G42" s="73"/>
      <c r="H42" s="73"/>
    </row>
    <row r="43" spans="1:8" ht="10.5">
      <c r="A43" s="73"/>
      <c r="B43" s="73"/>
      <c r="C43" s="73"/>
      <c r="D43" s="73"/>
      <c r="E43" s="73"/>
      <c r="F43" s="73"/>
      <c r="G43" s="73"/>
      <c r="H43" s="73"/>
    </row>
    <row r="44" spans="1:8" ht="10.5">
      <c r="A44" s="73"/>
      <c r="B44" s="73"/>
      <c r="C44" s="73"/>
      <c r="D44" s="73"/>
      <c r="E44" s="73"/>
      <c r="F44" s="73"/>
      <c r="G44" s="73"/>
      <c r="H44" s="73"/>
    </row>
    <row r="45" spans="1:8" ht="10.5">
      <c r="A45" s="73"/>
      <c r="B45" s="73"/>
      <c r="C45" s="73"/>
      <c r="D45" s="73"/>
      <c r="E45" s="73"/>
      <c r="F45" s="73"/>
      <c r="G45" s="73"/>
      <c r="H45" s="73"/>
    </row>
    <row r="46" spans="1:8" ht="10.5">
      <c r="A46" s="73"/>
      <c r="B46" s="73"/>
      <c r="C46" s="73"/>
      <c r="D46" s="73"/>
      <c r="E46" s="73"/>
      <c r="F46" s="73"/>
      <c r="G46" s="73"/>
      <c r="H46" s="73"/>
    </row>
    <row r="47" spans="1:8" ht="10.5">
      <c r="A47" s="73"/>
      <c r="B47" s="73"/>
      <c r="C47" s="73"/>
      <c r="D47" s="73"/>
      <c r="E47" s="73"/>
      <c r="F47" s="73"/>
      <c r="G47" s="73"/>
      <c r="H47" s="73"/>
    </row>
    <row r="48" spans="1:8" ht="10.5">
      <c r="A48" s="73"/>
      <c r="B48" s="73"/>
      <c r="C48" s="73"/>
      <c r="D48" s="73"/>
      <c r="E48" s="73"/>
      <c r="F48" s="73"/>
      <c r="G48" s="73"/>
      <c r="H48" s="73"/>
    </row>
    <row r="49" spans="1:8" ht="10.5">
      <c r="A49" s="73"/>
      <c r="B49" s="73"/>
      <c r="C49" s="73"/>
      <c r="D49" s="73"/>
      <c r="E49" s="73"/>
      <c r="F49" s="73"/>
      <c r="G49" s="73"/>
      <c r="H49" s="73"/>
    </row>
    <row r="50" spans="1:8" ht="10.5">
      <c r="A50" s="73"/>
      <c r="B50" s="73"/>
      <c r="C50" s="73"/>
      <c r="D50" s="73"/>
      <c r="E50" s="73"/>
      <c r="F50" s="73"/>
      <c r="G50" s="73"/>
      <c r="H50" s="73"/>
    </row>
    <row r="51" spans="1:8" ht="10.5">
      <c r="A51" s="73"/>
      <c r="B51" s="73"/>
      <c r="C51" s="73"/>
      <c r="D51" s="73"/>
      <c r="E51" s="73"/>
      <c r="F51" s="73"/>
      <c r="G51" s="73"/>
      <c r="H51" s="73"/>
    </row>
    <row r="52" spans="1:8" ht="10.5">
      <c r="A52" s="73"/>
      <c r="B52" s="73"/>
      <c r="C52" s="73"/>
      <c r="D52" s="73"/>
      <c r="E52" s="73"/>
      <c r="F52" s="73"/>
      <c r="G52" s="73"/>
      <c r="H52" s="73"/>
    </row>
    <row r="53" spans="1:8" ht="10.5">
      <c r="A53" s="73"/>
      <c r="B53" s="73"/>
      <c r="C53" s="73"/>
      <c r="D53" s="73"/>
      <c r="E53" s="73"/>
      <c r="F53" s="73"/>
      <c r="G53" s="73"/>
      <c r="H53" s="73"/>
    </row>
    <row r="54" spans="1:8" ht="10.5">
      <c r="A54" s="73"/>
      <c r="B54" s="73"/>
      <c r="C54" s="73"/>
      <c r="D54" s="73"/>
      <c r="E54" s="73"/>
      <c r="F54" s="73"/>
      <c r="G54" s="73"/>
      <c r="H54" s="73"/>
    </row>
    <row r="55" spans="1:8" ht="10.5">
      <c r="A55" s="73"/>
      <c r="B55" s="73"/>
      <c r="C55" s="73"/>
      <c r="D55" s="73"/>
      <c r="E55" s="73"/>
      <c r="F55" s="73"/>
      <c r="G55" s="73"/>
      <c r="H55" s="73"/>
    </row>
    <row r="56" spans="1:8" ht="10.5">
      <c r="A56" s="73"/>
      <c r="B56" s="73"/>
      <c r="C56" s="73"/>
      <c r="D56" s="73"/>
      <c r="E56" s="73"/>
      <c r="F56" s="73"/>
      <c r="G56" s="73"/>
      <c r="H56" s="73"/>
    </row>
    <row r="57" spans="1:8" ht="10.5">
      <c r="A57" s="73"/>
      <c r="B57" s="73"/>
      <c r="C57" s="73"/>
      <c r="D57" s="73"/>
      <c r="E57" s="73"/>
      <c r="F57" s="73"/>
      <c r="G57" s="73"/>
      <c r="H57" s="73"/>
    </row>
    <row r="58" spans="1:8" ht="10.5">
      <c r="A58" s="73"/>
      <c r="B58" s="73"/>
      <c r="C58" s="73"/>
      <c r="D58" s="73"/>
      <c r="E58" s="73"/>
      <c r="F58" s="73"/>
      <c r="G58" s="73"/>
      <c r="H58" s="73"/>
    </row>
    <row r="59" spans="1:8" ht="10.5">
      <c r="A59" s="73"/>
      <c r="B59" s="73"/>
      <c r="C59" s="73"/>
      <c r="D59" s="73"/>
      <c r="E59" s="73"/>
      <c r="F59" s="73"/>
      <c r="G59" s="73"/>
      <c r="H59" s="73"/>
    </row>
    <row r="60" spans="1:8" ht="10.5">
      <c r="A60" s="73"/>
      <c r="B60" s="73"/>
      <c r="C60" s="73"/>
      <c r="D60" s="73"/>
      <c r="E60" s="73"/>
      <c r="F60" s="73"/>
      <c r="G60" s="73"/>
      <c r="H60" s="73"/>
    </row>
    <row r="61" spans="1:8" ht="10.5">
      <c r="A61" s="73"/>
      <c r="B61" s="73"/>
      <c r="C61" s="73"/>
      <c r="D61" s="73"/>
      <c r="E61" s="73"/>
      <c r="F61" s="73"/>
      <c r="G61" s="73"/>
      <c r="H61" s="73"/>
    </row>
    <row r="62" spans="1:8" ht="10.5">
      <c r="A62" s="73"/>
      <c r="B62" s="73"/>
      <c r="C62" s="73"/>
      <c r="D62" s="73"/>
      <c r="E62" s="73"/>
      <c r="F62" s="73"/>
      <c r="G62" s="73"/>
      <c r="H62" s="73"/>
    </row>
    <row r="63" spans="1:8" ht="10.5">
      <c r="A63" s="73"/>
      <c r="B63" s="73"/>
      <c r="C63" s="73"/>
      <c r="D63" s="73"/>
      <c r="E63" s="73"/>
      <c r="F63" s="73"/>
      <c r="G63" s="73"/>
      <c r="H63" s="73"/>
    </row>
    <row r="64" spans="1:8" ht="10.5">
      <c r="A64" s="73"/>
      <c r="B64" s="73"/>
      <c r="C64" s="73"/>
      <c r="D64" s="73"/>
      <c r="E64" s="73"/>
      <c r="F64" s="73"/>
      <c r="G64" s="73"/>
      <c r="H64" s="73"/>
    </row>
    <row r="65" spans="1:8" ht="10.5">
      <c r="A65" s="73"/>
      <c r="B65" s="73"/>
      <c r="C65" s="73"/>
      <c r="D65" s="73"/>
      <c r="E65" s="73"/>
      <c r="F65" s="73"/>
      <c r="G65" s="73"/>
      <c r="H65" s="73"/>
    </row>
    <row r="66" spans="1:8" ht="10.5">
      <c r="A66" s="73"/>
      <c r="B66" s="73"/>
      <c r="C66" s="73"/>
      <c r="D66" s="73"/>
      <c r="E66" s="73"/>
      <c r="F66" s="73"/>
      <c r="G66" s="73"/>
      <c r="H66" s="73"/>
    </row>
    <row r="67" spans="1:8" ht="10.5">
      <c r="A67" s="73"/>
      <c r="B67" s="73"/>
      <c r="C67" s="73"/>
      <c r="D67" s="73"/>
      <c r="E67" s="73"/>
      <c r="F67" s="73"/>
      <c r="G67" s="73"/>
      <c r="H67" s="73"/>
    </row>
    <row r="68" spans="1:8" ht="10.5">
      <c r="A68" s="73"/>
      <c r="B68" s="73"/>
      <c r="C68" s="73"/>
      <c r="D68" s="73"/>
      <c r="E68" s="73"/>
      <c r="F68" s="73"/>
      <c r="G68" s="73"/>
      <c r="H68" s="73"/>
    </row>
    <row r="69" spans="1:8" ht="10.5">
      <c r="A69" s="73"/>
      <c r="B69" s="73"/>
      <c r="C69" s="73"/>
      <c r="D69" s="73"/>
      <c r="E69" s="73"/>
      <c r="F69" s="73"/>
      <c r="G69" s="73"/>
      <c r="H69" s="73"/>
    </row>
    <row r="70" spans="1:8" ht="10.5">
      <c r="A70" s="73"/>
      <c r="B70" s="73"/>
      <c r="C70" s="73"/>
      <c r="D70" s="73"/>
      <c r="E70" s="73"/>
      <c r="F70" s="73"/>
      <c r="G70" s="73"/>
      <c r="H70" s="73"/>
    </row>
    <row r="71" spans="1:8" ht="10.5">
      <c r="A71" s="73"/>
      <c r="B71" s="73"/>
      <c r="C71" s="73"/>
      <c r="D71" s="73"/>
      <c r="E71" s="73"/>
      <c r="F71" s="73"/>
      <c r="G71" s="73"/>
      <c r="H71" s="73"/>
    </row>
    <row r="72" spans="1:8" ht="10.5">
      <c r="A72" s="73"/>
      <c r="B72" s="73"/>
      <c r="C72" s="73"/>
      <c r="D72" s="73"/>
      <c r="E72" s="73"/>
      <c r="F72" s="73"/>
      <c r="G72" s="73"/>
      <c r="H72" s="73"/>
    </row>
    <row r="73" spans="1:8" ht="10.5">
      <c r="A73" s="73"/>
      <c r="B73" s="73"/>
      <c r="C73" s="73"/>
      <c r="D73" s="73"/>
      <c r="E73" s="73"/>
      <c r="F73" s="73"/>
      <c r="G73" s="73"/>
      <c r="H73" s="73"/>
    </row>
    <row r="74" spans="1:8" ht="10.5">
      <c r="A74" s="73"/>
      <c r="B74" s="73"/>
      <c r="C74" s="73"/>
      <c r="D74" s="73"/>
      <c r="E74" s="73"/>
      <c r="F74" s="73"/>
      <c r="G74" s="73"/>
      <c r="H74" s="73"/>
    </row>
    <row r="75" spans="1:8" ht="10.5">
      <c r="A75" s="73"/>
      <c r="B75" s="73"/>
      <c r="C75" s="73"/>
      <c r="D75" s="73"/>
      <c r="E75" s="73"/>
      <c r="F75" s="73"/>
      <c r="G75" s="73"/>
      <c r="H75" s="73"/>
    </row>
    <row r="76" spans="1:8" ht="10.5">
      <c r="A76" s="73"/>
      <c r="B76" s="73"/>
      <c r="C76" s="73"/>
      <c r="D76" s="73"/>
      <c r="E76" s="73"/>
      <c r="F76" s="73"/>
      <c r="G76" s="73"/>
      <c r="H76" s="73"/>
    </row>
    <row r="77" spans="1:8" ht="10.5">
      <c r="A77" s="73"/>
      <c r="B77" s="73"/>
      <c r="C77" s="73"/>
      <c r="D77" s="73"/>
      <c r="E77" s="73"/>
      <c r="F77" s="73"/>
      <c r="G77" s="73"/>
      <c r="H77" s="73"/>
    </row>
    <row r="78" spans="1:8" ht="10.5">
      <c r="A78" s="73"/>
      <c r="B78" s="73"/>
      <c r="C78" s="73"/>
      <c r="D78" s="73"/>
      <c r="E78" s="73"/>
      <c r="F78" s="73"/>
      <c r="G78" s="73"/>
      <c r="H78" s="73"/>
    </row>
    <row r="79" spans="1:8" ht="10.5">
      <c r="A79" s="73"/>
      <c r="B79" s="73"/>
      <c r="C79" s="73"/>
      <c r="D79" s="73"/>
      <c r="E79" s="73"/>
      <c r="F79" s="73"/>
      <c r="G79" s="73"/>
      <c r="H79" s="73"/>
    </row>
    <row r="80" spans="1:8" ht="10.5">
      <c r="A80" s="73"/>
      <c r="B80" s="73"/>
      <c r="C80" s="73"/>
      <c r="D80" s="73"/>
      <c r="E80" s="73"/>
      <c r="F80" s="73"/>
      <c r="G80" s="73"/>
      <c r="H80" s="73"/>
    </row>
    <row r="81" spans="1:8" ht="10.5">
      <c r="A81" s="73"/>
      <c r="B81" s="73"/>
      <c r="C81" s="73"/>
      <c r="D81" s="73"/>
      <c r="E81" s="73"/>
      <c r="F81" s="73"/>
      <c r="G81" s="73"/>
      <c r="H81" s="73"/>
    </row>
    <row r="82" spans="1:8" ht="10.5">
      <c r="A82" s="73"/>
      <c r="B82" s="73"/>
      <c r="C82" s="73"/>
      <c r="D82" s="73"/>
      <c r="E82" s="73"/>
      <c r="F82" s="73"/>
      <c r="G82" s="73"/>
      <c r="H82" s="73"/>
    </row>
    <row r="83" spans="1:8" ht="10.5">
      <c r="A83" s="73"/>
      <c r="B83" s="73"/>
      <c r="C83" s="73"/>
      <c r="D83" s="73"/>
      <c r="E83" s="73"/>
      <c r="F83" s="73"/>
      <c r="G83" s="73"/>
      <c r="H83" s="73"/>
    </row>
    <row r="84" spans="1:8" ht="10.5">
      <c r="A84" s="73"/>
      <c r="B84" s="73"/>
      <c r="C84" s="73"/>
      <c r="D84" s="73"/>
      <c r="E84" s="73"/>
      <c r="F84" s="73"/>
      <c r="G84" s="73"/>
      <c r="H84" s="73"/>
    </row>
    <row r="85" spans="1:8" ht="10.5">
      <c r="A85" s="73"/>
      <c r="B85" s="73"/>
      <c r="C85" s="73"/>
      <c r="D85" s="73"/>
      <c r="E85" s="73"/>
      <c r="F85" s="73"/>
      <c r="G85" s="73"/>
      <c r="H85" s="73"/>
    </row>
    <row r="86" spans="1:8" ht="10.5">
      <c r="A86" s="73"/>
      <c r="B86" s="73"/>
      <c r="C86" s="73"/>
      <c r="D86" s="73"/>
      <c r="E86" s="73"/>
      <c r="F86" s="73"/>
      <c r="G86" s="73"/>
      <c r="H86" s="73"/>
    </row>
    <row r="87" spans="1:8" ht="10.5">
      <c r="A87" s="73"/>
      <c r="B87" s="73"/>
      <c r="C87" s="73"/>
      <c r="D87" s="73"/>
      <c r="E87" s="73"/>
      <c r="F87" s="73"/>
      <c r="G87" s="73"/>
      <c r="H87" s="73"/>
    </row>
    <row r="88" spans="1:8" ht="10.5">
      <c r="A88" s="73"/>
      <c r="B88" s="73"/>
      <c r="C88" s="73"/>
      <c r="D88" s="73"/>
      <c r="E88" s="73"/>
      <c r="F88" s="73"/>
      <c r="G88" s="73"/>
      <c r="H88" s="73"/>
    </row>
    <row r="89" spans="1:8" ht="10.5">
      <c r="A89" s="73"/>
      <c r="B89" s="73"/>
      <c r="C89" s="73"/>
      <c r="D89" s="73"/>
      <c r="E89" s="73"/>
      <c r="F89" s="73"/>
      <c r="G89" s="73"/>
      <c r="H89" s="73"/>
    </row>
    <row r="90" spans="1:8" ht="10.5">
      <c r="A90" s="73"/>
      <c r="B90" s="73"/>
      <c r="C90" s="73"/>
      <c r="D90" s="73"/>
      <c r="E90" s="73"/>
      <c r="F90" s="73"/>
      <c r="G90" s="73"/>
      <c r="H90" s="73"/>
    </row>
    <row r="91" spans="1:8" ht="10.5">
      <c r="A91" s="73"/>
      <c r="B91" s="73"/>
      <c r="C91" s="73"/>
      <c r="D91" s="73"/>
      <c r="E91" s="73"/>
      <c r="F91" s="73"/>
      <c r="G91" s="73"/>
      <c r="H91" s="73"/>
    </row>
    <row r="92" spans="1:8" ht="10.5">
      <c r="A92" s="73"/>
      <c r="B92" s="73"/>
      <c r="C92" s="73"/>
      <c r="D92" s="73"/>
      <c r="E92" s="73"/>
      <c r="F92" s="73"/>
      <c r="G92" s="73"/>
      <c r="H92" s="73"/>
    </row>
    <row r="93" spans="1:8" ht="10.5">
      <c r="A93" s="73"/>
      <c r="B93" s="73"/>
      <c r="C93" s="73"/>
      <c r="D93" s="73"/>
      <c r="E93" s="73"/>
      <c r="F93" s="73"/>
      <c r="G93" s="73"/>
      <c r="H93" s="73"/>
    </row>
    <row r="94" spans="1:8" ht="10.5">
      <c r="A94" s="73"/>
      <c r="B94" s="73"/>
      <c r="C94" s="73"/>
      <c r="D94" s="73"/>
      <c r="E94" s="73"/>
      <c r="F94" s="73"/>
      <c r="G94" s="73"/>
      <c r="H94" s="73"/>
    </row>
    <row r="95" spans="1:8" ht="10.5">
      <c r="A95" s="73"/>
      <c r="B95" s="73"/>
      <c r="C95" s="73"/>
      <c r="D95" s="73"/>
      <c r="E95" s="73"/>
      <c r="F95" s="73"/>
      <c r="G95" s="73"/>
      <c r="H95" s="73"/>
    </row>
    <row r="96" spans="1:8" ht="10.5">
      <c r="A96" s="73"/>
      <c r="B96" s="73"/>
      <c r="C96" s="73"/>
      <c r="D96" s="73"/>
      <c r="E96" s="73"/>
      <c r="F96" s="73"/>
      <c r="G96" s="73"/>
      <c r="H96" s="73"/>
    </row>
    <row r="97" spans="1:8" ht="10.5">
      <c r="A97" s="73"/>
      <c r="B97" s="73"/>
      <c r="C97" s="73"/>
      <c r="D97" s="73"/>
      <c r="E97" s="73"/>
      <c r="F97" s="73"/>
      <c r="G97" s="73"/>
      <c r="H97" s="73"/>
    </row>
    <row r="98" spans="1:8" ht="10.5">
      <c r="A98" s="73"/>
      <c r="B98" s="73"/>
      <c r="C98" s="73"/>
      <c r="D98" s="73"/>
      <c r="E98" s="73"/>
      <c r="F98" s="73"/>
      <c r="G98" s="73"/>
      <c r="H98" s="73"/>
    </row>
    <row r="99" spans="1:8" ht="10.5">
      <c r="A99" s="73"/>
      <c r="B99" s="73"/>
      <c r="C99" s="73"/>
      <c r="D99" s="73"/>
      <c r="E99" s="73"/>
      <c r="F99" s="73"/>
      <c r="G99" s="73"/>
      <c r="H99" s="73"/>
    </row>
    <row r="100" spans="1:8" ht="10.5">
      <c r="A100" s="73"/>
      <c r="B100" s="73"/>
      <c r="C100" s="73"/>
      <c r="D100" s="73"/>
      <c r="E100" s="73"/>
      <c r="F100" s="73"/>
      <c r="G100" s="73"/>
      <c r="H100" s="73"/>
    </row>
    <row r="101" spans="1:8" ht="10.5">
      <c r="A101" s="73"/>
      <c r="B101" s="73"/>
      <c r="C101" s="73"/>
      <c r="D101" s="73"/>
      <c r="E101" s="73"/>
      <c r="F101" s="73"/>
      <c r="G101" s="73"/>
      <c r="H101" s="73"/>
    </row>
    <row r="102" spans="1:8" ht="10.5">
      <c r="A102" s="73"/>
      <c r="B102" s="73"/>
      <c r="C102" s="73"/>
      <c r="D102" s="73"/>
      <c r="E102" s="73"/>
      <c r="F102" s="73"/>
      <c r="G102" s="73"/>
      <c r="H102" s="73"/>
    </row>
    <row r="103" spans="1:8" ht="10.5">
      <c r="A103" s="73"/>
      <c r="B103" s="73"/>
      <c r="C103" s="73"/>
      <c r="D103" s="73"/>
      <c r="E103" s="73"/>
      <c r="F103" s="73"/>
      <c r="G103" s="73"/>
      <c r="H103" s="73"/>
    </row>
    <row r="104" spans="1:8" ht="10.5">
      <c r="A104" s="73"/>
      <c r="B104" s="73"/>
      <c r="C104" s="73"/>
      <c r="D104" s="73"/>
      <c r="E104" s="73"/>
      <c r="F104" s="73"/>
      <c r="G104" s="73"/>
      <c r="H104" s="73"/>
    </row>
    <row r="105" spans="1:8" ht="10.5">
      <c r="A105" s="73"/>
      <c r="B105" s="73"/>
      <c r="C105" s="73"/>
      <c r="D105" s="73"/>
      <c r="E105" s="73"/>
      <c r="F105" s="73"/>
      <c r="G105" s="73"/>
      <c r="H105" s="73"/>
    </row>
    <row r="106" spans="1:8" ht="10.5">
      <c r="A106" s="73"/>
      <c r="B106" s="73"/>
      <c r="C106" s="73"/>
      <c r="D106" s="73"/>
      <c r="E106" s="73"/>
      <c r="F106" s="73"/>
      <c r="G106" s="73"/>
      <c r="H106" s="73"/>
    </row>
    <row r="107" spans="1:8" ht="10.5">
      <c r="A107" s="73"/>
      <c r="B107" s="73"/>
      <c r="C107" s="73"/>
      <c r="D107" s="73"/>
      <c r="E107" s="73"/>
      <c r="F107" s="73"/>
      <c r="G107" s="73"/>
      <c r="H107" s="73"/>
    </row>
    <row r="108" spans="1:8" ht="10.5">
      <c r="A108" s="73"/>
      <c r="B108" s="73"/>
      <c r="C108" s="73"/>
      <c r="D108" s="73"/>
      <c r="E108" s="73"/>
      <c r="F108" s="73"/>
      <c r="G108" s="73"/>
      <c r="H108" s="73"/>
    </row>
    <row r="109" spans="1:8" ht="10.5">
      <c r="A109" s="73"/>
      <c r="B109" s="73"/>
      <c r="C109" s="73"/>
      <c r="D109" s="73"/>
      <c r="E109" s="73"/>
      <c r="F109" s="73"/>
      <c r="G109" s="73"/>
      <c r="H109" s="73"/>
    </row>
    <row r="110" spans="1:8" ht="10.5">
      <c r="A110" s="73"/>
      <c r="B110" s="73"/>
      <c r="C110" s="73"/>
      <c r="D110" s="73"/>
      <c r="E110" s="73"/>
      <c r="F110" s="73"/>
      <c r="G110" s="73"/>
      <c r="H110" s="73"/>
    </row>
    <row r="111" spans="1:8" ht="10.5">
      <c r="A111" s="73"/>
      <c r="B111" s="73"/>
      <c r="C111" s="73"/>
      <c r="D111" s="73"/>
      <c r="E111" s="73"/>
      <c r="F111" s="73"/>
      <c r="G111" s="73"/>
      <c r="H111" s="73"/>
    </row>
    <row r="112" spans="1:8" ht="10.5">
      <c r="A112" s="73"/>
      <c r="B112" s="73"/>
      <c r="C112" s="73"/>
      <c r="D112" s="73"/>
      <c r="E112" s="73"/>
      <c r="F112" s="73"/>
      <c r="G112" s="73"/>
      <c r="H112" s="73"/>
    </row>
    <row r="113" spans="1:8" ht="10.5">
      <c r="A113" s="73"/>
      <c r="B113" s="73"/>
      <c r="C113" s="73"/>
      <c r="D113" s="73"/>
      <c r="E113" s="73"/>
      <c r="F113" s="73"/>
      <c r="G113" s="73"/>
      <c r="H113" s="73"/>
    </row>
    <row r="114" spans="1:8" ht="10.5">
      <c r="A114" s="73"/>
      <c r="B114" s="73"/>
      <c r="C114" s="73"/>
      <c r="D114" s="73"/>
      <c r="E114" s="73"/>
      <c r="F114" s="73"/>
      <c r="G114" s="73"/>
      <c r="H114" s="73"/>
    </row>
    <row r="115" spans="1:8" ht="10.5">
      <c r="A115" s="73"/>
      <c r="B115" s="73"/>
      <c r="C115" s="73"/>
      <c r="D115" s="73"/>
      <c r="E115" s="73"/>
      <c r="F115" s="73"/>
      <c r="G115" s="73"/>
      <c r="H115" s="73"/>
    </row>
    <row r="116" spans="1:8" ht="10.5">
      <c r="A116" s="73"/>
      <c r="B116" s="73"/>
      <c r="C116" s="73"/>
      <c r="D116" s="73"/>
      <c r="E116" s="73"/>
      <c r="F116" s="73"/>
      <c r="G116" s="73"/>
      <c r="H116" s="73"/>
    </row>
    <row r="117" spans="1:8" ht="10.5">
      <c r="A117" s="73"/>
      <c r="B117" s="73"/>
      <c r="C117" s="73"/>
      <c r="D117" s="73"/>
      <c r="E117" s="73"/>
      <c r="F117" s="73"/>
      <c r="G117" s="73"/>
      <c r="H117" s="73"/>
    </row>
    <row r="118" spans="1:8" ht="10.5">
      <c r="A118" s="73"/>
      <c r="B118" s="73"/>
      <c r="C118" s="73"/>
      <c r="D118" s="73"/>
      <c r="E118" s="73"/>
      <c r="F118" s="73"/>
      <c r="G118" s="73"/>
      <c r="H118" s="73"/>
    </row>
    <row r="119" spans="1:8" ht="10.5">
      <c r="A119" s="73"/>
      <c r="B119" s="73"/>
      <c r="C119" s="73"/>
      <c r="D119" s="73"/>
      <c r="E119" s="73"/>
      <c r="F119" s="73"/>
      <c r="G119" s="73"/>
      <c r="H119" s="73"/>
    </row>
    <row r="120" spans="1:8" ht="10.5">
      <c r="A120" s="73"/>
      <c r="B120" s="73"/>
      <c r="C120" s="73"/>
      <c r="D120" s="73"/>
      <c r="E120" s="73"/>
      <c r="F120" s="73"/>
      <c r="G120" s="73"/>
      <c r="H120" s="73"/>
    </row>
    <row r="121" spans="1:8" ht="10.5">
      <c r="A121" s="73"/>
      <c r="B121" s="73"/>
      <c r="C121" s="73"/>
      <c r="D121" s="73"/>
      <c r="E121" s="73"/>
      <c r="F121" s="73"/>
      <c r="G121" s="73"/>
      <c r="H121" s="73"/>
    </row>
    <row r="122" spans="1:8" ht="10.5">
      <c r="A122" s="73"/>
      <c r="B122" s="73"/>
      <c r="C122" s="73"/>
      <c r="D122" s="73"/>
      <c r="E122" s="73"/>
      <c r="F122" s="73"/>
      <c r="G122" s="73"/>
      <c r="H122" s="73"/>
    </row>
    <row r="123" spans="1:8" ht="10.5">
      <c r="A123" s="73"/>
      <c r="B123" s="73"/>
      <c r="C123" s="73"/>
      <c r="D123" s="73"/>
      <c r="E123" s="73"/>
      <c r="F123" s="73"/>
      <c r="G123" s="73"/>
      <c r="H123" s="73"/>
    </row>
    <row r="124" spans="1:8" ht="10.5">
      <c r="A124" s="73"/>
      <c r="B124" s="73"/>
      <c r="C124" s="73"/>
      <c r="D124" s="73"/>
      <c r="E124" s="73"/>
      <c r="F124" s="73"/>
      <c r="G124" s="73"/>
      <c r="H124" s="73"/>
    </row>
    <row r="125" spans="1:8" ht="10.5">
      <c r="A125" s="73"/>
      <c r="B125" s="73"/>
      <c r="C125" s="73"/>
      <c r="D125" s="73"/>
      <c r="E125" s="73"/>
      <c r="F125" s="73"/>
      <c r="G125" s="73"/>
      <c r="H125" s="73"/>
    </row>
    <row r="126" spans="1:8" ht="10.5">
      <c r="A126" s="73"/>
      <c r="B126" s="73"/>
      <c r="C126" s="73"/>
      <c r="D126" s="73"/>
      <c r="E126" s="73"/>
      <c r="F126" s="73"/>
      <c r="G126" s="73"/>
      <c r="H126" s="73"/>
    </row>
    <row r="127" spans="1:8" ht="10.5">
      <c r="A127" s="73"/>
      <c r="B127" s="73"/>
      <c r="C127" s="73"/>
      <c r="D127" s="73"/>
      <c r="E127" s="73"/>
      <c r="F127" s="73"/>
      <c r="G127" s="73"/>
      <c r="H127" s="73"/>
    </row>
    <row r="128" spans="1:8" ht="10.5">
      <c r="A128" s="73"/>
      <c r="B128" s="73"/>
      <c r="C128" s="73"/>
      <c r="D128" s="73"/>
      <c r="E128" s="73"/>
      <c r="F128" s="73"/>
      <c r="G128" s="73"/>
      <c r="H128" s="73"/>
    </row>
    <row r="129" spans="1:8" ht="10.5">
      <c r="A129" s="73"/>
      <c r="B129" s="73"/>
      <c r="C129" s="73"/>
      <c r="D129" s="73"/>
      <c r="E129" s="73"/>
      <c r="F129" s="73"/>
      <c r="G129" s="73"/>
      <c r="H129" s="73"/>
    </row>
    <row r="130" spans="1:8" ht="10.5">
      <c r="A130" s="73"/>
      <c r="B130" s="73"/>
      <c r="C130" s="73"/>
      <c r="D130" s="73"/>
      <c r="E130" s="73"/>
      <c r="F130" s="73"/>
      <c r="G130" s="73"/>
      <c r="H130" s="73"/>
    </row>
    <row r="131" spans="1:8" ht="10.5">
      <c r="A131" s="73"/>
      <c r="B131" s="73"/>
      <c r="C131" s="73"/>
      <c r="D131" s="73"/>
      <c r="E131" s="73"/>
      <c r="F131" s="73"/>
      <c r="G131" s="73"/>
      <c r="H131" s="73"/>
    </row>
    <row r="132" spans="1:8" ht="10.5">
      <c r="A132" s="73"/>
      <c r="B132" s="73"/>
      <c r="C132" s="73"/>
      <c r="D132" s="73"/>
      <c r="E132" s="73"/>
      <c r="F132" s="73"/>
      <c r="G132" s="73"/>
      <c r="H132" s="73"/>
    </row>
    <row r="133" spans="1:8" ht="10.5">
      <c r="A133" s="73"/>
      <c r="B133" s="73"/>
      <c r="C133" s="73"/>
      <c r="D133" s="73"/>
      <c r="E133" s="73"/>
      <c r="F133" s="73"/>
      <c r="G133" s="73"/>
      <c r="H133" s="73"/>
    </row>
    <row r="134" spans="1:8" ht="10.5">
      <c r="A134" s="73"/>
      <c r="B134" s="73"/>
      <c r="C134" s="73"/>
      <c r="D134" s="73"/>
      <c r="E134" s="73"/>
      <c r="F134" s="73"/>
      <c r="G134" s="73"/>
      <c r="H134" s="73"/>
    </row>
    <row r="135" spans="1:8" ht="10.5">
      <c r="A135" s="73"/>
      <c r="B135" s="73"/>
      <c r="C135" s="73"/>
      <c r="D135" s="73"/>
      <c r="E135" s="73"/>
      <c r="F135" s="73"/>
      <c r="G135" s="73"/>
      <c r="H135" s="73"/>
    </row>
    <row r="136" spans="1:8" ht="10.5">
      <c r="A136" s="73"/>
      <c r="B136" s="73"/>
      <c r="C136" s="73"/>
      <c r="D136" s="73"/>
      <c r="E136" s="73"/>
      <c r="F136" s="73"/>
      <c r="G136" s="73"/>
      <c r="H136" s="73"/>
    </row>
    <row r="137" spans="1:8" ht="10.5">
      <c r="A137" s="73"/>
      <c r="B137" s="73"/>
      <c r="C137" s="73"/>
      <c r="D137" s="73"/>
      <c r="E137" s="73"/>
      <c r="F137" s="73"/>
      <c r="G137" s="73"/>
      <c r="H137" s="73"/>
    </row>
    <row r="138" spans="1:8" ht="10.5">
      <c r="A138" s="73"/>
      <c r="B138" s="73"/>
      <c r="C138" s="73"/>
      <c r="D138" s="73"/>
      <c r="E138" s="73"/>
      <c r="F138" s="73"/>
      <c r="G138" s="73"/>
      <c r="H138" s="73"/>
    </row>
    <row r="139" spans="1:8" ht="10.5">
      <c r="A139" s="73"/>
      <c r="B139" s="73"/>
      <c r="C139" s="73"/>
      <c r="D139" s="73"/>
      <c r="E139" s="73"/>
      <c r="F139" s="73"/>
      <c r="G139" s="73"/>
      <c r="H139" s="73"/>
    </row>
    <row r="140" spans="1:8" ht="10.5">
      <c r="A140" s="73"/>
      <c r="B140" s="73"/>
      <c r="C140" s="73"/>
      <c r="D140" s="73"/>
      <c r="E140" s="73"/>
      <c r="F140" s="73"/>
      <c r="G140" s="73"/>
      <c r="H140" s="73"/>
    </row>
  </sheetData>
  <sheetProtection password="8318" sheet="1" objects="1" scenarios="1"/>
  <mergeCells count="3">
    <mergeCell ref="A4:H4"/>
    <mergeCell ref="A16:B16"/>
    <mergeCell ref="A20:B20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/>
  <headerFooter alignWithMargins="0">
    <oddFooter>&amp;C&amp;"Arial,Normal"&amp;8IAPMEI&amp;R&amp;"Arial,Normal"&amp;8&amp;P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K53"/>
  <sheetViews>
    <sheetView showGridLines="0" showZeros="0" zoomScale="150" zoomScaleNormal="150" workbookViewId="0" topLeftCell="A21">
      <selection activeCell="E39" sqref="E39"/>
    </sheetView>
  </sheetViews>
  <sheetFormatPr defaultColWidth="8.7109375" defaultRowHeight="12.75"/>
  <cols>
    <col min="1" max="1" width="29.7109375" style="73" customWidth="1"/>
    <col min="2" max="4" width="6.421875" style="73" customWidth="1"/>
    <col min="5" max="5" width="11.8515625" style="73" customWidth="1"/>
    <col min="6" max="14" width="11.421875" style="73" customWidth="1"/>
    <col min="15" max="16384" width="8.7109375" style="73" customWidth="1"/>
  </cols>
  <sheetData>
    <row r="1" spans="1:11" ht="12.75">
      <c r="A1" s="63"/>
      <c r="B1" s="63"/>
      <c r="C1" s="63"/>
      <c r="D1" s="63"/>
      <c r="E1" s="53"/>
      <c r="F1" s="53"/>
      <c r="G1" s="53"/>
      <c r="H1" s="53"/>
      <c r="I1" s="53"/>
      <c r="J1" s="97" t="str">
        <f>+VN!G1</f>
        <v>Empresa:</v>
      </c>
      <c r="K1" s="98" t="str">
        <f>+Pressupostos!E1</f>
        <v>XPTO, Lda</v>
      </c>
    </row>
    <row r="2" spans="1:11" ht="12.75">
      <c r="A2" s="57"/>
      <c r="B2" s="57"/>
      <c r="C2" s="57"/>
      <c r="D2" s="57"/>
      <c r="E2" s="53"/>
      <c r="F2" s="53"/>
      <c r="G2" s="53"/>
      <c r="H2" s="53"/>
      <c r="I2" s="53"/>
      <c r="J2" s="53"/>
      <c r="K2" s="58" t="str">
        <f>+Pressupostos!B9</f>
        <v>Euros</v>
      </c>
    </row>
    <row r="3" spans="1:11" ht="12.75">
      <c r="A3" s="57"/>
      <c r="B3" s="57"/>
      <c r="C3" s="57"/>
      <c r="D3" s="57"/>
      <c r="E3" s="53"/>
      <c r="F3" s="53"/>
      <c r="G3" s="53"/>
      <c r="H3" s="53"/>
      <c r="I3" s="53"/>
      <c r="J3" s="53"/>
      <c r="K3" s="58"/>
    </row>
    <row r="4" spans="1:11" ht="15.75">
      <c r="A4" s="511" t="s">
        <v>70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</row>
    <row r="5" spans="1:11" ht="9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9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9.75">
      <c r="A7" s="61"/>
      <c r="B7" s="99"/>
      <c r="C7" s="99"/>
      <c r="D7" s="99"/>
      <c r="E7" s="84"/>
      <c r="F7" s="60">
        <f>+VN!C8</f>
        <v>2017</v>
      </c>
      <c r="G7" s="60">
        <f>+VN!D8</f>
        <v>2018</v>
      </c>
      <c r="H7" s="60">
        <f>+VN!E8</f>
        <v>2019</v>
      </c>
      <c r="I7" s="60">
        <f>+VN!F8</f>
        <v>2020</v>
      </c>
      <c r="J7" s="60">
        <f>+VN!G8</f>
        <v>2021</v>
      </c>
      <c r="K7" s="60">
        <f>+VN!H8</f>
        <v>2022</v>
      </c>
    </row>
    <row r="8" spans="1:11" ht="9.75">
      <c r="A8" s="100" t="s">
        <v>32</v>
      </c>
      <c r="B8" s="101"/>
      <c r="C8" s="101"/>
      <c r="D8" s="101"/>
      <c r="E8" s="103"/>
      <c r="F8" s="38">
        <v>12</v>
      </c>
      <c r="G8" s="38">
        <v>12</v>
      </c>
      <c r="H8" s="107">
        <v>12</v>
      </c>
      <c r="I8" s="107">
        <v>12</v>
      </c>
      <c r="J8" s="107">
        <v>12</v>
      </c>
      <c r="K8" s="107">
        <v>12</v>
      </c>
    </row>
    <row r="9" spans="1:11" ht="9.75">
      <c r="A9" s="100" t="s">
        <v>72</v>
      </c>
      <c r="B9" s="101"/>
      <c r="C9" s="101"/>
      <c r="D9" s="101"/>
      <c r="E9" s="103"/>
      <c r="F9" s="104">
        <v>0</v>
      </c>
      <c r="G9" s="34">
        <v>0</v>
      </c>
      <c r="H9" s="34"/>
      <c r="I9" s="34"/>
      <c r="J9" s="34"/>
      <c r="K9" s="34"/>
    </row>
    <row r="10" spans="1:11" ht="9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9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9.75">
      <c r="A12" s="61"/>
      <c r="B12" s="60" t="s">
        <v>142</v>
      </c>
      <c r="C12" s="60" t="s">
        <v>2</v>
      </c>
      <c r="D12" s="60" t="s">
        <v>401</v>
      </c>
      <c r="E12" s="60" t="s">
        <v>73</v>
      </c>
      <c r="F12" s="385">
        <f>+VN!C8</f>
        <v>2017</v>
      </c>
      <c r="G12" s="385">
        <f>+VN!D8</f>
        <v>2018</v>
      </c>
      <c r="H12" s="385">
        <f>+VN!E8</f>
        <v>2019</v>
      </c>
      <c r="I12" s="385">
        <f>+VN!F8</f>
        <v>2020</v>
      </c>
      <c r="J12" s="385">
        <f>+VN!G8</f>
        <v>2021</v>
      </c>
      <c r="K12" s="385">
        <f>+VN!H8</f>
        <v>2022</v>
      </c>
    </row>
    <row r="13" spans="1:11" ht="9.75">
      <c r="A13" s="105" t="s">
        <v>28</v>
      </c>
      <c r="B13" s="455">
        <f>Pressupostos!$B$21</f>
        <v>0.23</v>
      </c>
      <c r="C13" s="460">
        <f>100%-D13</f>
        <v>1</v>
      </c>
      <c r="D13" s="458"/>
      <c r="E13" s="386"/>
      <c r="F13" s="401">
        <f>E13*$F$8</f>
        <v>0</v>
      </c>
      <c r="G13" s="401">
        <f>+E13*$G$8*(1+$G$9)</f>
        <v>0</v>
      </c>
      <c r="H13" s="401">
        <f>+E13*(1+$G$9)*(1+$H$9)*H$8</f>
        <v>0</v>
      </c>
      <c r="I13" s="401">
        <f>+H13*(1+I$9)</f>
        <v>0</v>
      </c>
      <c r="J13" s="401">
        <f aca="true" t="shared" si="0" ref="J13:K15">+I13*(1+J$9)</f>
        <v>0</v>
      </c>
      <c r="K13" s="401">
        <f t="shared" si="0"/>
        <v>0</v>
      </c>
    </row>
    <row r="14" spans="1:11" ht="9.75">
      <c r="A14" s="106" t="s">
        <v>326</v>
      </c>
      <c r="B14" s="459"/>
      <c r="C14" s="460"/>
      <c r="D14" s="459"/>
      <c r="E14" s="387"/>
      <c r="F14" s="402"/>
      <c r="G14" s="402"/>
      <c r="H14" s="402"/>
      <c r="I14" s="402"/>
      <c r="J14" s="402"/>
      <c r="K14" s="402"/>
    </row>
    <row r="15" spans="1:11" ht="9.75">
      <c r="A15" s="321" t="s">
        <v>194</v>
      </c>
      <c r="B15" s="455">
        <f>Pressupostos!$B$21</f>
        <v>0.23</v>
      </c>
      <c r="C15" s="460">
        <f aca="true" t="shared" si="1" ref="C15:C42">100%-D15</f>
        <v>1</v>
      </c>
      <c r="D15" s="458"/>
      <c r="E15" s="386">
        <v>500</v>
      </c>
      <c r="F15" s="401">
        <f aca="true" t="shared" si="2" ref="F15:F20">E15*$F$8</f>
        <v>6000</v>
      </c>
      <c r="G15" s="401">
        <f aca="true" t="shared" si="3" ref="G15:G20">+E15*$G$8*(1+$G$9)</f>
        <v>6000</v>
      </c>
      <c r="H15" s="401">
        <f aca="true" t="shared" si="4" ref="H15:H20">+E15*(1+$G$9)*(1+$H$9)*H$8</f>
        <v>6000</v>
      </c>
      <c r="I15" s="401">
        <f aca="true" t="shared" si="5" ref="I15:I20">+H15*(1+I$9)</f>
        <v>6000</v>
      </c>
      <c r="J15" s="401">
        <f t="shared" si="0"/>
        <v>6000</v>
      </c>
      <c r="K15" s="401">
        <f t="shared" si="0"/>
        <v>6000</v>
      </c>
    </row>
    <row r="16" spans="1:11" ht="9.75">
      <c r="A16" s="321" t="s">
        <v>42</v>
      </c>
      <c r="B16" s="455">
        <f>Pressupostos!$B$21</f>
        <v>0.23</v>
      </c>
      <c r="C16" s="460">
        <f t="shared" si="1"/>
        <v>1</v>
      </c>
      <c r="D16" s="458">
        <v>0</v>
      </c>
      <c r="E16" s="386"/>
      <c r="F16" s="401">
        <f t="shared" si="2"/>
        <v>0</v>
      </c>
      <c r="G16" s="401">
        <f t="shared" si="3"/>
        <v>0</v>
      </c>
      <c r="H16" s="401">
        <f t="shared" si="4"/>
        <v>0</v>
      </c>
      <c r="I16" s="401">
        <f t="shared" si="5"/>
        <v>0</v>
      </c>
      <c r="J16" s="401">
        <f aca="true" t="shared" si="6" ref="J16:K20">+I16*(1+J$9)</f>
        <v>0</v>
      </c>
      <c r="K16" s="401">
        <f t="shared" si="6"/>
        <v>0</v>
      </c>
    </row>
    <row r="17" spans="1:11" ht="9.75">
      <c r="A17" s="321" t="s">
        <v>193</v>
      </c>
      <c r="B17" s="455">
        <f>Pressupostos!$B$21</f>
        <v>0.23</v>
      </c>
      <c r="C17" s="460">
        <f t="shared" si="1"/>
        <v>1</v>
      </c>
      <c r="D17" s="458"/>
      <c r="E17" s="386"/>
      <c r="F17" s="401">
        <f t="shared" si="2"/>
        <v>0</v>
      </c>
      <c r="G17" s="401">
        <f t="shared" si="3"/>
        <v>0</v>
      </c>
      <c r="H17" s="401">
        <f t="shared" si="4"/>
        <v>0</v>
      </c>
      <c r="I17" s="401">
        <f t="shared" si="5"/>
        <v>0</v>
      </c>
      <c r="J17" s="401">
        <f t="shared" si="6"/>
        <v>0</v>
      </c>
      <c r="K17" s="401">
        <f t="shared" si="6"/>
        <v>0</v>
      </c>
    </row>
    <row r="18" spans="1:11" ht="9.75">
      <c r="A18" s="321" t="s">
        <v>44</v>
      </c>
      <c r="B18" s="455">
        <f>Pressupostos!$B$21</f>
        <v>0.23</v>
      </c>
      <c r="C18" s="460">
        <f t="shared" si="1"/>
        <v>1</v>
      </c>
      <c r="D18" s="458"/>
      <c r="E18" s="386">
        <v>500</v>
      </c>
      <c r="F18" s="401">
        <f t="shared" si="2"/>
        <v>6000</v>
      </c>
      <c r="G18" s="401">
        <f t="shared" si="3"/>
        <v>6000</v>
      </c>
      <c r="H18" s="401">
        <f t="shared" si="4"/>
        <v>6000</v>
      </c>
      <c r="I18" s="401">
        <f t="shared" si="5"/>
        <v>6000</v>
      </c>
      <c r="J18" s="401">
        <f t="shared" si="6"/>
        <v>6000</v>
      </c>
      <c r="K18" s="401">
        <f t="shared" si="6"/>
        <v>6000</v>
      </c>
    </row>
    <row r="19" spans="1:11" ht="9.75">
      <c r="A19" s="321" t="s">
        <v>30</v>
      </c>
      <c r="B19" s="455">
        <f>Pressupostos!$B$21</f>
        <v>0.23</v>
      </c>
      <c r="C19" s="460">
        <f t="shared" si="1"/>
        <v>1</v>
      </c>
      <c r="D19" s="458"/>
      <c r="E19" s="386"/>
      <c r="F19" s="401">
        <f t="shared" si="2"/>
        <v>0</v>
      </c>
      <c r="G19" s="401">
        <f t="shared" si="3"/>
        <v>0</v>
      </c>
      <c r="H19" s="401">
        <f t="shared" si="4"/>
        <v>0</v>
      </c>
      <c r="I19" s="401">
        <f t="shared" si="5"/>
        <v>0</v>
      </c>
      <c r="J19" s="401">
        <f t="shared" si="6"/>
        <v>0</v>
      </c>
      <c r="K19" s="401">
        <f t="shared" si="6"/>
        <v>0</v>
      </c>
    </row>
    <row r="20" spans="1:11" ht="9.75">
      <c r="A20" s="321" t="s">
        <v>41</v>
      </c>
      <c r="B20" s="455">
        <f>Pressupostos!$B$21</f>
        <v>0.23</v>
      </c>
      <c r="C20" s="460">
        <f t="shared" si="1"/>
        <v>1</v>
      </c>
      <c r="D20" s="458"/>
      <c r="E20" s="386"/>
      <c r="F20" s="401">
        <f t="shared" si="2"/>
        <v>0</v>
      </c>
      <c r="G20" s="401">
        <f t="shared" si="3"/>
        <v>0</v>
      </c>
      <c r="H20" s="401">
        <f t="shared" si="4"/>
        <v>0</v>
      </c>
      <c r="I20" s="401">
        <f t="shared" si="5"/>
        <v>0</v>
      </c>
      <c r="J20" s="401">
        <f t="shared" si="6"/>
        <v>0</v>
      </c>
      <c r="K20" s="401">
        <f t="shared" si="6"/>
        <v>0</v>
      </c>
    </row>
    <row r="21" spans="1:11" ht="9.75">
      <c r="A21" s="106" t="s">
        <v>327</v>
      </c>
      <c r="B21" s="459"/>
      <c r="C21" s="460"/>
      <c r="D21" s="459"/>
      <c r="E21" s="387"/>
      <c r="F21" s="402"/>
      <c r="G21" s="402"/>
      <c r="H21" s="402"/>
      <c r="I21" s="402"/>
      <c r="J21" s="402"/>
      <c r="K21" s="402"/>
    </row>
    <row r="22" spans="1:11" ht="9.75">
      <c r="A22" s="321" t="s">
        <v>328</v>
      </c>
      <c r="B22" s="455">
        <f>Pressupostos!$B$21</f>
        <v>0.23</v>
      </c>
      <c r="C22" s="460">
        <f t="shared" si="1"/>
        <v>1</v>
      </c>
      <c r="D22" s="458"/>
      <c r="E22" s="386">
        <v>100</v>
      </c>
      <c r="F22" s="401">
        <f>E22*$F$8</f>
        <v>1200</v>
      </c>
      <c r="G22" s="401">
        <f>+E22*$G$8*(1+$G$9)</f>
        <v>1200</v>
      </c>
      <c r="H22" s="401">
        <f>+E22*(1+$G$9)*(1+$H$9)*H$8</f>
        <v>1200</v>
      </c>
      <c r="I22" s="401">
        <f aca="true" t="shared" si="7" ref="I22:K25">+H22*(1+I$9)</f>
        <v>1200</v>
      </c>
      <c r="J22" s="401">
        <f t="shared" si="7"/>
        <v>1200</v>
      </c>
      <c r="K22" s="401">
        <f t="shared" si="7"/>
        <v>1200</v>
      </c>
    </row>
    <row r="23" spans="1:11" ht="9.75">
      <c r="A23" s="321" t="s">
        <v>329</v>
      </c>
      <c r="B23" s="455">
        <f>Pressupostos!$B$21</f>
        <v>0.23</v>
      </c>
      <c r="C23" s="460">
        <f t="shared" si="1"/>
        <v>1</v>
      </c>
      <c r="D23" s="458"/>
      <c r="E23" s="386"/>
      <c r="F23" s="401">
        <f>E23*$F$8</f>
        <v>0</v>
      </c>
      <c r="G23" s="401">
        <f>+E23*$G$8*(1+$G$9)</f>
        <v>0</v>
      </c>
      <c r="H23" s="401">
        <f>+E23*(1+$G$9)*(1+$H$9)*H$8</f>
        <v>0</v>
      </c>
      <c r="I23" s="401">
        <f t="shared" si="7"/>
        <v>0</v>
      </c>
      <c r="J23" s="401">
        <f t="shared" si="7"/>
        <v>0</v>
      </c>
      <c r="K23" s="401">
        <f t="shared" si="7"/>
        <v>0</v>
      </c>
    </row>
    <row r="24" spans="1:11" ht="9.75">
      <c r="A24" s="321" t="s">
        <v>192</v>
      </c>
      <c r="B24" s="455">
        <f>Pressupostos!$B$21</f>
        <v>0.23</v>
      </c>
      <c r="C24" s="460">
        <f t="shared" si="1"/>
        <v>1</v>
      </c>
      <c r="D24" s="458"/>
      <c r="E24" s="386"/>
      <c r="F24" s="401">
        <f>E24*$F$8</f>
        <v>0</v>
      </c>
      <c r="G24" s="401">
        <f>+E24*$G$8*(1+$G$9)</f>
        <v>0</v>
      </c>
      <c r="H24" s="401">
        <f>+E24*(1+$G$9)*(1+$H$9)*H$8</f>
        <v>0</v>
      </c>
      <c r="I24" s="401">
        <f t="shared" si="7"/>
        <v>0</v>
      </c>
      <c r="J24" s="401">
        <f t="shared" si="7"/>
        <v>0</v>
      </c>
      <c r="K24" s="401">
        <f t="shared" si="7"/>
        <v>0</v>
      </c>
    </row>
    <row r="25" spans="1:11" ht="9.75">
      <c r="A25" s="321" t="s">
        <v>34</v>
      </c>
      <c r="B25" s="455">
        <f>Pressupostos!$B$21</f>
        <v>0.23</v>
      </c>
      <c r="C25" s="460">
        <f t="shared" si="1"/>
        <v>1</v>
      </c>
      <c r="D25" s="458"/>
      <c r="E25" s="386"/>
      <c r="F25" s="401">
        <f>E25*$F$8</f>
        <v>0</v>
      </c>
      <c r="G25" s="401">
        <f>+E25*$G$8*(1+$G$9)</f>
        <v>0</v>
      </c>
      <c r="H25" s="401">
        <f>+E25*(1+$G$9)*(1+$H$9)*H$8</f>
        <v>0</v>
      </c>
      <c r="I25" s="401">
        <f t="shared" si="7"/>
        <v>0</v>
      </c>
      <c r="J25" s="401">
        <f t="shared" si="7"/>
        <v>0</v>
      </c>
      <c r="K25" s="401">
        <f t="shared" si="7"/>
        <v>0</v>
      </c>
    </row>
    <row r="26" spans="1:11" ht="9.75">
      <c r="A26" s="106" t="s">
        <v>330</v>
      </c>
      <c r="B26" s="459"/>
      <c r="C26" s="460"/>
      <c r="D26" s="459"/>
      <c r="E26" s="387"/>
      <c r="F26" s="402"/>
      <c r="G26" s="402"/>
      <c r="H26" s="402"/>
      <c r="I26" s="402"/>
      <c r="J26" s="402"/>
      <c r="K26" s="402"/>
    </row>
    <row r="27" spans="1:11" ht="9.75">
      <c r="A27" s="321" t="s">
        <v>33</v>
      </c>
      <c r="B27" s="455">
        <f>Pressupostos!$B$21</f>
        <v>0.23</v>
      </c>
      <c r="C27" s="460">
        <f t="shared" si="1"/>
        <v>1</v>
      </c>
      <c r="D27" s="458"/>
      <c r="E27" s="386">
        <v>300</v>
      </c>
      <c r="F27" s="401">
        <f>E27*$F$8</f>
        <v>3600</v>
      </c>
      <c r="G27" s="401">
        <f>+E27*$G$8*(1+$G$9)</f>
        <v>3600</v>
      </c>
      <c r="H27" s="401">
        <f>+E27*(1+$G$9)*(1+$H$9)*H$8</f>
        <v>3600</v>
      </c>
      <c r="I27" s="401">
        <f aca="true" t="shared" si="8" ref="I27:K29">+H27*(1+I$9)</f>
        <v>3600</v>
      </c>
      <c r="J27" s="401">
        <f t="shared" si="8"/>
        <v>3600</v>
      </c>
      <c r="K27" s="401">
        <f t="shared" si="8"/>
        <v>3600</v>
      </c>
    </row>
    <row r="28" spans="1:11" ht="9.75">
      <c r="A28" s="321" t="s">
        <v>331</v>
      </c>
      <c r="B28" s="455">
        <f>Pressupostos!$B$21</f>
        <v>0.23</v>
      </c>
      <c r="C28" s="460">
        <f t="shared" si="1"/>
        <v>1</v>
      </c>
      <c r="D28" s="458"/>
      <c r="E28" s="386">
        <v>300</v>
      </c>
      <c r="F28" s="401">
        <f>E28*$F$8</f>
        <v>3600</v>
      </c>
      <c r="G28" s="401">
        <f>+E28*$G$8*(1+$G$9)</f>
        <v>3600</v>
      </c>
      <c r="H28" s="401">
        <f>+E28*(1+$G$9)*(1+$H$9)*H$8</f>
        <v>3600</v>
      </c>
      <c r="I28" s="401">
        <f t="shared" si="8"/>
        <v>3600</v>
      </c>
      <c r="J28" s="401">
        <f t="shared" si="8"/>
        <v>3600</v>
      </c>
      <c r="K28" s="401">
        <f t="shared" si="8"/>
        <v>3600</v>
      </c>
    </row>
    <row r="29" spans="1:11" ht="9.75">
      <c r="A29" s="321" t="s">
        <v>332</v>
      </c>
      <c r="B29" s="455">
        <v>0.06</v>
      </c>
      <c r="C29" s="460">
        <f t="shared" si="1"/>
        <v>1</v>
      </c>
      <c r="D29" s="458"/>
      <c r="E29" s="386">
        <v>400</v>
      </c>
      <c r="F29" s="401">
        <f>E29*$F$8</f>
        <v>4800</v>
      </c>
      <c r="G29" s="401">
        <f>+E29*$G$8*(1+$G$9)</f>
        <v>4800</v>
      </c>
      <c r="H29" s="401">
        <f>+E29*(1+$G$9)*(1+$H$9)*H$8</f>
        <v>4800</v>
      </c>
      <c r="I29" s="401">
        <f t="shared" si="8"/>
        <v>4800</v>
      </c>
      <c r="J29" s="401">
        <f t="shared" si="8"/>
        <v>4800</v>
      </c>
      <c r="K29" s="401">
        <f t="shared" si="8"/>
        <v>4800</v>
      </c>
    </row>
    <row r="30" spans="1:11" ht="9.75">
      <c r="A30" s="106" t="s">
        <v>333</v>
      </c>
      <c r="B30" s="459"/>
      <c r="C30" s="460"/>
      <c r="D30" s="459"/>
      <c r="E30" s="387"/>
      <c r="F30" s="402"/>
      <c r="G30" s="402"/>
      <c r="H30" s="402"/>
      <c r="I30" s="402"/>
      <c r="J30" s="402"/>
      <c r="K30" s="402"/>
    </row>
    <row r="31" spans="1:11" ht="9.75">
      <c r="A31" s="321" t="s">
        <v>334</v>
      </c>
      <c r="B31" s="455">
        <f>Pressupostos!$B$21</f>
        <v>0.23</v>
      </c>
      <c r="C31" s="460">
        <f t="shared" si="1"/>
        <v>1</v>
      </c>
      <c r="D31" s="458"/>
      <c r="E31" s="386">
        <v>150</v>
      </c>
      <c r="F31" s="401">
        <f>E31*$F$8</f>
        <v>1800</v>
      </c>
      <c r="G31" s="401">
        <f>+E31*$G$8*(1+$G$9)</f>
        <v>1800</v>
      </c>
      <c r="H31" s="401">
        <f>+E31*(1+$G$9)*(1+$H$9)*H$8</f>
        <v>1800</v>
      </c>
      <c r="I31" s="401">
        <f aca="true" t="shared" si="9" ref="I31:K33">+H31*(1+I$9)</f>
        <v>1800</v>
      </c>
      <c r="J31" s="401">
        <f t="shared" si="9"/>
        <v>1800</v>
      </c>
      <c r="K31" s="401">
        <f t="shared" si="9"/>
        <v>1800</v>
      </c>
    </row>
    <row r="32" spans="1:11" ht="9.75">
      <c r="A32" s="321" t="s">
        <v>335</v>
      </c>
      <c r="B32" s="455">
        <f>Pressupostos!$B$21</f>
        <v>0.23</v>
      </c>
      <c r="C32" s="460">
        <f t="shared" si="1"/>
        <v>1</v>
      </c>
      <c r="D32" s="458"/>
      <c r="E32" s="386"/>
      <c r="F32" s="401">
        <f>E32*$F$8</f>
        <v>0</v>
      </c>
      <c r="G32" s="401">
        <f>+E32*$G$8*(1+$G$9)</f>
        <v>0</v>
      </c>
      <c r="H32" s="401">
        <f>+E32*(1+$G$9)*(1+$H$9)*H$8</f>
        <v>0</v>
      </c>
      <c r="I32" s="401">
        <f t="shared" si="9"/>
        <v>0</v>
      </c>
      <c r="J32" s="401">
        <f t="shared" si="9"/>
        <v>0</v>
      </c>
      <c r="K32" s="401">
        <f t="shared" si="9"/>
        <v>0</v>
      </c>
    </row>
    <row r="33" spans="1:11" ht="9.75">
      <c r="A33" s="321" t="s">
        <v>39</v>
      </c>
      <c r="B33" s="455">
        <f>Pressupostos!$B$21</f>
        <v>0.23</v>
      </c>
      <c r="C33" s="460">
        <f t="shared" si="1"/>
        <v>1</v>
      </c>
      <c r="D33" s="458"/>
      <c r="E33" s="386"/>
      <c r="F33" s="401">
        <f>E33*$F$8</f>
        <v>0</v>
      </c>
      <c r="G33" s="401">
        <f>+E33*$G$8*(1+$G$9)</f>
        <v>0</v>
      </c>
      <c r="H33" s="401">
        <f>+E33*(1+$G$9)*(1+$H$9)*H$8</f>
        <v>0</v>
      </c>
      <c r="I33" s="401">
        <f t="shared" si="9"/>
        <v>0</v>
      </c>
      <c r="J33" s="401">
        <f t="shared" si="9"/>
        <v>0</v>
      </c>
      <c r="K33" s="401">
        <f t="shared" si="9"/>
        <v>0</v>
      </c>
    </row>
    <row r="34" spans="1:11" ht="9.75">
      <c r="A34" s="322" t="s">
        <v>336</v>
      </c>
      <c r="B34" s="459"/>
      <c r="C34" s="460"/>
      <c r="D34" s="459"/>
      <c r="E34" s="387"/>
      <c r="F34" s="402"/>
      <c r="G34" s="402"/>
      <c r="H34" s="402"/>
      <c r="I34" s="402"/>
      <c r="J34" s="402"/>
      <c r="K34" s="402"/>
    </row>
    <row r="35" spans="1:11" ht="9.75">
      <c r="A35" s="321" t="s">
        <v>35</v>
      </c>
      <c r="B35" s="455">
        <f>Pressupostos!$B$21</f>
        <v>0.23</v>
      </c>
      <c r="C35" s="460">
        <f t="shared" si="1"/>
        <v>1</v>
      </c>
      <c r="D35" s="458"/>
      <c r="E35" s="386"/>
      <c r="F35" s="401">
        <f aca="true" t="shared" si="10" ref="F35:F42">E35*$F$8</f>
        <v>0</v>
      </c>
      <c r="G35" s="401">
        <f aca="true" t="shared" si="11" ref="G35:G42">+E35*$G$8*(1+$G$9)</f>
        <v>0</v>
      </c>
      <c r="H35" s="401">
        <f aca="true" t="shared" si="12" ref="H35:H42">+E35*(1+$G$9)*(1+$H$9)*H$8</f>
        <v>0</v>
      </c>
      <c r="I35" s="401">
        <f aca="true" t="shared" si="13" ref="I35:K42">+H35*(1+I$9)</f>
        <v>0</v>
      </c>
      <c r="J35" s="401">
        <f t="shared" si="13"/>
        <v>0</v>
      </c>
      <c r="K35" s="401">
        <f t="shared" si="13"/>
        <v>0</v>
      </c>
    </row>
    <row r="36" spans="1:11" ht="9.75">
      <c r="A36" s="321" t="s">
        <v>37</v>
      </c>
      <c r="B36" s="455">
        <f>Pressupostos!$B$21</f>
        <v>0.23</v>
      </c>
      <c r="C36" s="460">
        <f t="shared" si="1"/>
        <v>1</v>
      </c>
      <c r="D36" s="458"/>
      <c r="E36" s="386">
        <v>50</v>
      </c>
      <c r="F36" s="401">
        <f t="shared" si="10"/>
        <v>600</v>
      </c>
      <c r="G36" s="401">
        <f t="shared" si="11"/>
        <v>600</v>
      </c>
      <c r="H36" s="401">
        <f t="shared" si="12"/>
        <v>600</v>
      </c>
      <c r="I36" s="401">
        <f t="shared" si="13"/>
        <v>600</v>
      </c>
      <c r="J36" s="401">
        <f t="shared" si="13"/>
        <v>600</v>
      </c>
      <c r="K36" s="401">
        <f t="shared" si="13"/>
        <v>600</v>
      </c>
    </row>
    <row r="37" spans="1:11" ht="9.75">
      <c r="A37" s="321" t="s">
        <v>38</v>
      </c>
      <c r="B37" s="455">
        <v>0</v>
      </c>
      <c r="C37" s="460">
        <f t="shared" si="1"/>
        <v>1</v>
      </c>
      <c r="D37" s="458"/>
      <c r="E37" s="386">
        <v>100</v>
      </c>
      <c r="F37" s="401">
        <f t="shared" si="10"/>
        <v>1200</v>
      </c>
      <c r="G37" s="401">
        <f t="shared" si="11"/>
        <v>1200</v>
      </c>
      <c r="H37" s="401">
        <f t="shared" si="12"/>
        <v>1200</v>
      </c>
      <c r="I37" s="401">
        <f t="shared" si="13"/>
        <v>1200</v>
      </c>
      <c r="J37" s="401">
        <f t="shared" si="13"/>
        <v>1200</v>
      </c>
      <c r="K37" s="401">
        <f t="shared" si="13"/>
        <v>1200</v>
      </c>
    </row>
    <row r="38" spans="1:11" ht="9.75">
      <c r="A38" s="321" t="s">
        <v>29</v>
      </c>
      <c r="B38" s="455">
        <f>Pressupostos!$B$21</f>
        <v>0.23</v>
      </c>
      <c r="C38" s="460">
        <f t="shared" si="1"/>
        <v>1</v>
      </c>
      <c r="D38" s="458"/>
      <c r="E38" s="386"/>
      <c r="F38" s="401">
        <f t="shared" si="10"/>
        <v>0</v>
      </c>
      <c r="G38" s="401">
        <f t="shared" si="11"/>
        <v>0</v>
      </c>
      <c r="H38" s="401">
        <f t="shared" si="12"/>
        <v>0</v>
      </c>
      <c r="I38" s="401">
        <f t="shared" si="13"/>
        <v>0</v>
      </c>
      <c r="J38" s="401">
        <f t="shared" si="13"/>
        <v>0</v>
      </c>
      <c r="K38" s="401">
        <f t="shared" si="13"/>
        <v>0</v>
      </c>
    </row>
    <row r="39" spans="1:11" ht="9.75">
      <c r="A39" s="321" t="s">
        <v>40</v>
      </c>
      <c r="B39" s="455">
        <f>Pressupostos!$B$21</f>
        <v>0.23</v>
      </c>
      <c r="C39" s="460">
        <f t="shared" si="1"/>
        <v>1</v>
      </c>
      <c r="D39" s="458"/>
      <c r="E39" s="386"/>
      <c r="F39" s="401">
        <f t="shared" si="10"/>
        <v>0</v>
      </c>
      <c r="G39" s="401">
        <f t="shared" si="11"/>
        <v>0</v>
      </c>
      <c r="H39" s="401">
        <f t="shared" si="12"/>
        <v>0</v>
      </c>
      <c r="I39" s="401">
        <f t="shared" si="13"/>
        <v>0</v>
      </c>
      <c r="J39" s="401">
        <f t="shared" si="13"/>
        <v>0</v>
      </c>
      <c r="K39" s="401">
        <f t="shared" si="13"/>
        <v>0</v>
      </c>
    </row>
    <row r="40" spans="1:11" ht="9.75">
      <c r="A40" s="321" t="s">
        <v>36</v>
      </c>
      <c r="B40" s="455">
        <f>Pressupostos!$B$21</f>
        <v>0.23</v>
      </c>
      <c r="C40" s="460">
        <f t="shared" si="1"/>
        <v>1</v>
      </c>
      <c r="D40" s="458"/>
      <c r="E40" s="386"/>
      <c r="F40" s="401">
        <f t="shared" si="10"/>
        <v>0</v>
      </c>
      <c r="G40" s="401">
        <f t="shared" si="11"/>
        <v>0</v>
      </c>
      <c r="H40" s="401">
        <f t="shared" si="12"/>
        <v>0</v>
      </c>
      <c r="I40" s="401">
        <f t="shared" si="13"/>
        <v>0</v>
      </c>
      <c r="J40" s="401">
        <f t="shared" si="13"/>
        <v>0</v>
      </c>
      <c r="K40" s="401">
        <f t="shared" si="13"/>
        <v>0</v>
      </c>
    </row>
    <row r="41" spans="1:11" ht="9.75">
      <c r="A41" s="321" t="s">
        <v>43</v>
      </c>
      <c r="B41" s="455">
        <f>Pressupostos!$B$21</f>
        <v>0.23</v>
      </c>
      <c r="C41" s="460">
        <f t="shared" si="1"/>
        <v>1</v>
      </c>
      <c r="D41" s="458"/>
      <c r="E41" s="386"/>
      <c r="F41" s="401">
        <f t="shared" si="10"/>
        <v>0</v>
      </c>
      <c r="G41" s="401">
        <f t="shared" si="11"/>
        <v>0</v>
      </c>
      <c r="H41" s="401">
        <f t="shared" si="12"/>
        <v>0</v>
      </c>
      <c r="I41" s="401">
        <f t="shared" si="13"/>
        <v>0</v>
      </c>
      <c r="J41" s="401">
        <f t="shared" si="13"/>
        <v>0</v>
      </c>
      <c r="K41" s="401">
        <f t="shared" si="13"/>
        <v>0</v>
      </c>
    </row>
    <row r="42" spans="1:11" ht="9.75">
      <c r="A42" s="106" t="s">
        <v>337</v>
      </c>
      <c r="B42" s="455">
        <f>Pressupostos!$B$21</f>
        <v>0.23</v>
      </c>
      <c r="C42" s="460">
        <f t="shared" si="1"/>
        <v>1</v>
      </c>
      <c r="D42" s="458"/>
      <c r="E42" s="386"/>
      <c r="F42" s="401">
        <f t="shared" si="10"/>
        <v>0</v>
      </c>
      <c r="G42" s="401">
        <f t="shared" si="11"/>
        <v>0</v>
      </c>
      <c r="H42" s="401">
        <f t="shared" si="12"/>
        <v>0</v>
      </c>
      <c r="I42" s="401">
        <f t="shared" si="13"/>
        <v>0</v>
      </c>
      <c r="J42" s="401">
        <f t="shared" si="13"/>
        <v>0</v>
      </c>
      <c r="K42" s="401">
        <f t="shared" si="13"/>
        <v>0</v>
      </c>
    </row>
    <row r="43" spans="1:11" ht="15" customHeight="1" thickBot="1">
      <c r="A43" s="520" t="s">
        <v>19</v>
      </c>
      <c r="B43" s="521"/>
      <c r="C43" s="521"/>
      <c r="D43" s="521"/>
      <c r="E43" s="522"/>
      <c r="F43" s="388">
        <f aca="true" t="shared" si="14" ref="F43:K43">SUM(F13:F42)</f>
        <v>28800</v>
      </c>
      <c r="G43" s="388">
        <f t="shared" si="14"/>
        <v>28800</v>
      </c>
      <c r="H43" s="388">
        <f t="shared" si="14"/>
        <v>28800</v>
      </c>
      <c r="I43" s="388">
        <f t="shared" si="14"/>
        <v>28800</v>
      </c>
      <c r="J43" s="388">
        <f t="shared" si="14"/>
        <v>28800</v>
      </c>
      <c r="K43" s="388">
        <f t="shared" si="14"/>
        <v>28800</v>
      </c>
    </row>
    <row r="44" spans="1:11" ht="10.5" thickTop="1">
      <c r="A44" s="63"/>
      <c r="B44" s="63"/>
      <c r="C44" s="63"/>
      <c r="D44" s="63"/>
      <c r="E44" s="63"/>
      <c r="F44" s="389"/>
      <c r="G44" s="389"/>
      <c r="H44" s="389"/>
      <c r="I44" s="389"/>
      <c r="J44" s="389"/>
      <c r="K44" s="389"/>
    </row>
    <row r="45" spans="1:11" ht="14.25" customHeight="1" thickBot="1">
      <c r="A45" s="517" t="s">
        <v>402</v>
      </c>
      <c r="B45" s="518"/>
      <c r="C45" s="518"/>
      <c r="D45" s="518"/>
      <c r="E45" s="383"/>
      <c r="F45" s="390">
        <f aca="true" t="shared" si="15" ref="F45:K45">(F13*$C$13)+(F15*$C$15)+(F16*$C$16)+(F17*$C$17)+(F18*$C$18)+(F19*$C$19)+(F20*$C$20)+(F22*$C$22)+(F23*$C$23)+(F24*$C$24)+(F25*$C$25)+(F27*$C$27)+(F28*$C$28)+(F29*$C$29)+(F31*$C$31)+(F32*$C$32)+(F33*$C$33)+(F35*$C$35)+(F36*$C$36)+(F37*$C$37)+(F38*$C$38)+(F39*$C$39)+(F40*$C$40)+(F41*$C$41)+(F42*$C$42)</f>
        <v>28800</v>
      </c>
      <c r="G45" s="390">
        <f t="shared" si="15"/>
        <v>28800</v>
      </c>
      <c r="H45" s="390">
        <f t="shared" si="15"/>
        <v>28800</v>
      </c>
      <c r="I45" s="390">
        <f t="shared" si="15"/>
        <v>28800</v>
      </c>
      <c r="J45" s="390">
        <f t="shared" si="15"/>
        <v>28800</v>
      </c>
      <c r="K45" s="390">
        <f t="shared" si="15"/>
        <v>28800</v>
      </c>
    </row>
    <row r="46" spans="1:11" ht="10.5" thickTop="1">
      <c r="A46" s="384"/>
      <c r="B46" s="384"/>
      <c r="C46" s="384"/>
      <c r="D46" s="384"/>
      <c r="E46" s="384"/>
      <c r="F46" s="389"/>
      <c r="G46" s="389"/>
      <c r="H46" s="389"/>
      <c r="I46" s="389"/>
      <c r="J46" s="389"/>
      <c r="K46" s="389"/>
    </row>
    <row r="47" spans="1:11" ht="10.5" thickBot="1">
      <c r="A47" s="517" t="s">
        <v>403</v>
      </c>
      <c r="B47" s="518"/>
      <c r="C47" s="518"/>
      <c r="D47" s="518"/>
      <c r="E47" s="383"/>
      <c r="F47" s="390">
        <f aca="true" t="shared" si="16" ref="F47:K47">(F13*$D$13)+(F15*$D$15)+(F16*$D$16)+(F17*$D$17)+(F18*$D$18)+(F19*$D$19)+(F20*$D$20)+(F22*$D$22)+(F23*$D$23)+(F24*$D$24)+(F25*$D$25)+(F27*$D$27)+(F28*$D$28)+(F29*$D$29)+(F31*$D$31)+(F32*$D$32)+(F33*$D$33)+(F35*$D$35)+(F36*$D$36)+(F37*$D$37)+(F38*$D$38)+(F39*$D$39)+(F40*$D$40)+(F41*$D$41)+(F42*$D$42)</f>
        <v>0</v>
      </c>
      <c r="G47" s="390">
        <f t="shared" si="16"/>
        <v>0</v>
      </c>
      <c r="H47" s="390">
        <f t="shared" si="16"/>
        <v>0</v>
      </c>
      <c r="I47" s="390">
        <f t="shared" si="16"/>
        <v>0</v>
      </c>
      <c r="J47" s="390">
        <f t="shared" si="16"/>
        <v>0</v>
      </c>
      <c r="K47" s="390">
        <f t="shared" si="16"/>
        <v>0</v>
      </c>
    </row>
    <row r="48" spans="1:11" ht="10.5" thickTop="1">
      <c r="A48" s="384"/>
      <c r="B48" s="384"/>
      <c r="C48" s="384"/>
      <c r="D48" s="384"/>
      <c r="E48" s="384"/>
      <c r="F48" s="389"/>
      <c r="G48" s="389"/>
      <c r="H48" s="389"/>
      <c r="I48" s="389"/>
      <c r="J48" s="389"/>
      <c r="K48" s="389"/>
    </row>
    <row r="49" spans="1:11" ht="10.5" thickBot="1">
      <c r="A49" s="517" t="s">
        <v>404</v>
      </c>
      <c r="B49" s="518"/>
      <c r="C49" s="518"/>
      <c r="D49" s="518"/>
      <c r="E49" s="383"/>
      <c r="F49" s="390">
        <f aca="true" t="shared" si="17" ref="F49:K49">F45+F47</f>
        <v>28800</v>
      </c>
      <c r="G49" s="390">
        <f t="shared" si="17"/>
        <v>28800</v>
      </c>
      <c r="H49" s="390">
        <f t="shared" si="17"/>
        <v>28800</v>
      </c>
      <c r="I49" s="390">
        <f t="shared" si="17"/>
        <v>28800</v>
      </c>
      <c r="J49" s="390">
        <f t="shared" si="17"/>
        <v>28800</v>
      </c>
      <c r="K49" s="390">
        <f t="shared" si="17"/>
        <v>28800</v>
      </c>
    </row>
    <row r="50" spans="1:11" ht="10.5" thickTop="1">
      <c r="A50" s="384"/>
      <c r="B50" s="384"/>
      <c r="C50" s="384"/>
      <c r="D50" s="384"/>
      <c r="E50" s="384"/>
      <c r="F50" s="389"/>
      <c r="G50" s="389"/>
      <c r="H50" s="389"/>
      <c r="I50" s="389"/>
      <c r="J50" s="389"/>
      <c r="K50" s="389"/>
    </row>
    <row r="51" spans="1:11" ht="10.5" thickBot="1">
      <c r="A51" s="523" t="s">
        <v>62</v>
      </c>
      <c r="B51" s="523"/>
      <c r="C51" s="523"/>
      <c r="D51" s="523"/>
      <c r="E51" s="523"/>
      <c r="F51" s="391">
        <f aca="true" t="shared" si="18" ref="F51:K51">(F13*$B$13)+(F15*$B$15)+(F16*$B$16)+(F17*$B$17)+(F18*$B$18)+(F19*$B$19)+(F20*$B$20)+(F22*$B$22)+(F23*$B$23)+(F24*$B$24)+(F25*$B$25)+(F27*$B$27)+(F29*$B$29)+(F36*$B$36)+(F41*$B$41)</f>
        <v>4290</v>
      </c>
      <c r="G51" s="391">
        <f t="shared" si="18"/>
        <v>4290</v>
      </c>
      <c r="H51" s="391">
        <f t="shared" si="18"/>
        <v>4290</v>
      </c>
      <c r="I51" s="391">
        <f t="shared" si="18"/>
        <v>4290</v>
      </c>
      <c r="J51" s="391">
        <f t="shared" si="18"/>
        <v>4290</v>
      </c>
      <c r="K51" s="391">
        <f t="shared" si="18"/>
        <v>4290</v>
      </c>
    </row>
    <row r="52" spans="1:11" ht="10.5" thickTop="1">
      <c r="A52" s="384"/>
      <c r="B52" s="384"/>
      <c r="C52" s="384"/>
      <c r="D52" s="384"/>
      <c r="E52" s="384"/>
      <c r="F52" s="389"/>
      <c r="G52" s="389"/>
      <c r="H52" s="389"/>
      <c r="I52" s="389"/>
      <c r="J52" s="389"/>
      <c r="K52" s="389"/>
    </row>
    <row r="53" spans="1:11" ht="10.5" thickBot="1">
      <c r="A53" s="519" t="s">
        <v>60</v>
      </c>
      <c r="B53" s="519"/>
      <c r="C53" s="519"/>
      <c r="D53" s="519"/>
      <c r="E53" s="519"/>
      <c r="F53" s="392">
        <f aca="true" t="shared" si="19" ref="F53:K53">F43+F51</f>
        <v>33090</v>
      </c>
      <c r="G53" s="392">
        <f t="shared" si="19"/>
        <v>33090</v>
      </c>
      <c r="H53" s="392">
        <f t="shared" si="19"/>
        <v>33090</v>
      </c>
      <c r="I53" s="392">
        <f t="shared" si="19"/>
        <v>33090</v>
      </c>
      <c r="J53" s="392">
        <f t="shared" si="19"/>
        <v>33090</v>
      </c>
      <c r="K53" s="392">
        <f t="shared" si="19"/>
        <v>33090</v>
      </c>
    </row>
    <row r="54" ht="10.5" thickTop="1"/>
  </sheetData>
  <sheetProtection password="8318" sheet="1" selectLockedCells="1"/>
  <mergeCells count="7">
    <mergeCell ref="A49:D49"/>
    <mergeCell ref="A53:E53"/>
    <mergeCell ref="A4:K4"/>
    <mergeCell ref="A43:E43"/>
    <mergeCell ref="A51:E51"/>
    <mergeCell ref="A45:D45"/>
    <mergeCell ref="A47:D47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80"/>
  <headerFooter alignWithMargins="0">
    <oddFooter>&amp;C&amp;"Arial,Normal"&amp;8IAPMEI&amp;R&amp;"Arial,Normal"&amp;8&amp;P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I105"/>
  <sheetViews>
    <sheetView showGridLines="0" showZeros="0" zoomScale="150" zoomScaleNormal="150" workbookViewId="0" topLeftCell="A1">
      <selection activeCell="D94" sqref="D94"/>
    </sheetView>
  </sheetViews>
  <sheetFormatPr defaultColWidth="8.7109375" defaultRowHeight="12.75"/>
  <cols>
    <col min="1" max="1" width="25.28125" style="73" customWidth="1"/>
    <col min="2" max="2" width="5.28125" style="73" customWidth="1"/>
    <col min="3" max="3" width="12.421875" style="73" customWidth="1"/>
    <col min="4" max="13" width="11.421875" style="73" customWidth="1"/>
    <col min="14" max="37" width="11.7109375" style="73" customWidth="1"/>
    <col min="38" max="16384" width="8.7109375" style="73" customWidth="1"/>
  </cols>
  <sheetData>
    <row r="1" spans="1:9" ht="12.75">
      <c r="A1" s="63"/>
      <c r="B1" s="63"/>
      <c r="C1" s="53"/>
      <c r="D1" s="53"/>
      <c r="E1" s="53"/>
      <c r="F1" s="53"/>
      <c r="G1" s="53"/>
      <c r="H1" s="97" t="str">
        <f>+VN!G1</f>
        <v>Empresa:</v>
      </c>
      <c r="I1" s="55" t="str">
        <f>+Pressupostos!E1</f>
        <v>XPTO, Lda</v>
      </c>
    </row>
    <row r="2" spans="1:9" ht="12.75">
      <c r="A2" s="108"/>
      <c r="B2" s="108"/>
      <c r="C2" s="53"/>
      <c r="D2" s="53"/>
      <c r="E2" s="53"/>
      <c r="F2" s="53"/>
      <c r="G2" s="53"/>
      <c r="H2" s="53"/>
      <c r="I2" s="58" t="str">
        <f>+Pressupostos!B9</f>
        <v>Euros</v>
      </c>
    </row>
    <row r="3" spans="1:9" ht="12.75">
      <c r="A3" s="108"/>
      <c r="B3" s="108"/>
      <c r="C3" s="53"/>
      <c r="D3" s="53"/>
      <c r="E3" s="53"/>
      <c r="F3" s="53"/>
      <c r="G3" s="53"/>
      <c r="H3" s="53"/>
      <c r="I3" s="58"/>
    </row>
    <row r="4" spans="1:9" ht="15.75">
      <c r="A4" s="511" t="s">
        <v>265</v>
      </c>
      <c r="B4" s="511"/>
      <c r="C4" s="511"/>
      <c r="D4" s="511"/>
      <c r="E4" s="511"/>
      <c r="F4" s="511"/>
      <c r="G4" s="511"/>
      <c r="H4" s="511"/>
      <c r="I4" s="511"/>
    </row>
    <row r="5" spans="1:9" ht="9.75">
      <c r="A5" s="59"/>
      <c r="B5" s="59"/>
      <c r="C5" s="59"/>
      <c r="D5" s="59"/>
      <c r="E5" s="59"/>
      <c r="F5" s="59"/>
      <c r="G5" s="59"/>
      <c r="H5" s="59"/>
      <c r="I5" s="59"/>
    </row>
    <row r="6" spans="1:9" ht="9.75">
      <c r="A6" s="61"/>
      <c r="B6" s="99"/>
      <c r="C6" s="99"/>
      <c r="D6" s="60">
        <f>+VN!C8</f>
        <v>2017</v>
      </c>
      <c r="E6" s="60">
        <f>+VN!D8</f>
        <v>2018</v>
      </c>
      <c r="F6" s="60">
        <f>+VN!E8</f>
        <v>2019</v>
      </c>
      <c r="G6" s="60">
        <f>+VN!F8</f>
        <v>2020</v>
      </c>
      <c r="H6" s="60">
        <f>+VN!G8</f>
        <v>2021</v>
      </c>
      <c r="I6" s="60">
        <f>+VN!H8</f>
        <v>2022</v>
      </c>
    </row>
    <row r="7" spans="1:9" ht="9.75">
      <c r="A7" s="100" t="s">
        <v>32</v>
      </c>
      <c r="B7" s="101"/>
      <c r="C7" s="102"/>
      <c r="D7" s="38">
        <v>14</v>
      </c>
      <c r="E7" s="38">
        <v>14</v>
      </c>
      <c r="F7" s="148">
        <v>14</v>
      </c>
      <c r="G7" s="148">
        <f>+F7</f>
        <v>14</v>
      </c>
      <c r="H7" s="148">
        <f>+G7</f>
        <v>14</v>
      </c>
      <c r="I7" s="148">
        <f>+H7</f>
        <v>14</v>
      </c>
    </row>
    <row r="8" spans="1:9" ht="9.75">
      <c r="A8" s="100" t="s">
        <v>185</v>
      </c>
      <c r="B8" s="101"/>
      <c r="C8" s="102"/>
      <c r="D8" s="104">
        <v>0</v>
      </c>
      <c r="E8" s="34"/>
      <c r="F8" s="34"/>
      <c r="G8" s="34"/>
      <c r="H8" s="34"/>
      <c r="I8" s="34"/>
    </row>
    <row r="9" spans="1:9" ht="9.75">
      <c r="A9" s="109"/>
      <c r="B9" s="109"/>
      <c r="C9" s="110"/>
      <c r="D9" s="63"/>
      <c r="E9" s="63"/>
      <c r="F9" s="63"/>
      <c r="G9" s="63"/>
      <c r="H9" s="63"/>
      <c r="I9" s="63"/>
    </row>
    <row r="10" spans="1:9" ht="9.75">
      <c r="A10" s="109"/>
      <c r="B10" s="109"/>
      <c r="C10" s="110"/>
      <c r="D10" s="63"/>
      <c r="E10" s="63"/>
      <c r="F10" s="63"/>
      <c r="G10" s="63"/>
      <c r="H10" s="63"/>
      <c r="I10" s="63"/>
    </row>
    <row r="11" spans="1:9" ht="9.75">
      <c r="A11" s="527" t="s">
        <v>411</v>
      </c>
      <c r="B11" s="528"/>
      <c r="C11" s="529"/>
      <c r="D11" s="60">
        <f aca="true" t="shared" si="0" ref="D11:I11">+D6</f>
        <v>2017</v>
      </c>
      <c r="E11" s="60">
        <f t="shared" si="0"/>
        <v>2018</v>
      </c>
      <c r="F11" s="60">
        <f t="shared" si="0"/>
        <v>2019</v>
      </c>
      <c r="G11" s="60">
        <f t="shared" si="0"/>
        <v>2020</v>
      </c>
      <c r="H11" s="60">
        <f t="shared" si="0"/>
        <v>2021</v>
      </c>
      <c r="I11" s="60">
        <f t="shared" si="0"/>
        <v>2022</v>
      </c>
    </row>
    <row r="12" spans="1:9" ht="9.75">
      <c r="A12" s="111" t="s">
        <v>218</v>
      </c>
      <c r="B12" s="101"/>
      <c r="C12" s="102"/>
      <c r="D12" s="43"/>
      <c r="E12" s="43"/>
      <c r="F12" s="43"/>
      <c r="G12" s="43"/>
      <c r="H12" s="43"/>
      <c r="I12" s="43"/>
    </row>
    <row r="13" spans="1:9" ht="9.75">
      <c r="A13" s="46" t="s">
        <v>219</v>
      </c>
      <c r="B13" s="112"/>
      <c r="C13" s="113"/>
      <c r="D13" s="43"/>
      <c r="E13" s="43"/>
      <c r="F13" s="43"/>
      <c r="G13" s="43"/>
      <c r="H13" s="43"/>
      <c r="I13" s="43"/>
    </row>
    <row r="14" spans="1:9" ht="9.75">
      <c r="A14" s="46" t="s">
        <v>220</v>
      </c>
      <c r="B14" s="112"/>
      <c r="C14" s="113"/>
      <c r="D14" s="43"/>
      <c r="E14" s="43"/>
      <c r="F14" s="43"/>
      <c r="G14" s="43"/>
      <c r="H14" s="43"/>
      <c r="I14" s="43"/>
    </row>
    <row r="15" spans="1:9" ht="9.75">
      <c r="A15" s="46" t="s">
        <v>221</v>
      </c>
      <c r="B15" s="112"/>
      <c r="C15" s="113"/>
      <c r="D15" s="43"/>
      <c r="E15" s="43"/>
      <c r="F15" s="43"/>
      <c r="G15" s="43"/>
      <c r="H15" s="43"/>
      <c r="I15" s="43"/>
    </row>
    <row r="16" spans="1:9" ht="9.75">
      <c r="A16" s="46" t="s">
        <v>222</v>
      </c>
      <c r="B16" s="112"/>
      <c r="C16" s="113"/>
      <c r="D16" s="43"/>
      <c r="E16" s="43"/>
      <c r="F16" s="43"/>
      <c r="G16" s="43"/>
      <c r="H16" s="43"/>
      <c r="I16" s="43"/>
    </row>
    <row r="17" spans="1:9" ht="9.75">
      <c r="A17" s="46" t="s">
        <v>223</v>
      </c>
      <c r="B17" s="112"/>
      <c r="C17" s="113"/>
      <c r="D17" s="43"/>
      <c r="E17" s="43"/>
      <c r="F17" s="43"/>
      <c r="G17" s="43"/>
      <c r="H17" s="43"/>
      <c r="I17" s="43"/>
    </row>
    <row r="18" spans="1:9" ht="9.75">
      <c r="A18" s="46" t="s">
        <v>224</v>
      </c>
      <c r="B18" s="112"/>
      <c r="C18" s="113"/>
      <c r="D18" s="43"/>
      <c r="E18" s="43"/>
      <c r="F18" s="43"/>
      <c r="G18" s="43"/>
      <c r="H18" s="43"/>
      <c r="I18" s="43"/>
    </row>
    <row r="19" spans="1:9" ht="9.75">
      <c r="A19" s="46" t="s">
        <v>225</v>
      </c>
      <c r="B19" s="112"/>
      <c r="C19" s="113"/>
      <c r="D19" s="43"/>
      <c r="E19" s="43"/>
      <c r="F19" s="43"/>
      <c r="G19" s="43"/>
      <c r="H19" s="43"/>
      <c r="I19" s="43"/>
    </row>
    <row r="20" spans="1:9" ht="9.75">
      <c r="A20" s="46" t="s">
        <v>226</v>
      </c>
      <c r="B20" s="112"/>
      <c r="C20" s="113"/>
      <c r="D20" s="43">
        <v>1</v>
      </c>
      <c r="E20" s="43">
        <v>1</v>
      </c>
      <c r="F20" s="43">
        <v>1</v>
      </c>
      <c r="G20" s="43">
        <v>1</v>
      </c>
      <c r="H20" s="43">
        <v>1</v>
      </c>
      <c r="I20" s="43">
        <v>1</v>
      </c>
    </row>
    <row r="21" spans="1:9" ht="9.75">
      <c r="A21" s="47"/>
      <c r="B21" s="114"/>
      <c r="C21" s="115"/>
      <c r="D21" s="41"/>
      <c r="E21" s="41"/>
      <c r="F21" s="41"/>
      <c r="G21" s="41"/>
      <c r="H21" s="41"/>
      <c r="I21" s="41"/>
    </row>
    <row r="22" spans="1:9" ht="9.75">
      <c r="A22" s="47"/>
      <c r="B22" s="114"/>
      <c r="C22" s="115"/>
      <c r="D22" s="41"/>
      <c r="E22" s="41"/>
      <c r="F22" s="41"/>
      <c r="G22" s="41"/>
      <c r="H22" s="41"/>
      <c r="I22" s="41"/>
    </row>
    <row r="23" spans="1:9" ht="10.5" thickBot="1">
      <c r="A23" s="520" t="s">
        <v>46</v>
      </c>
      <c r="B23" s="521"/>
      <c r="C23" s="522"/>
      <c r="D23" s="116">
        <f aca="true" t="shared" si="1" ref="D23:I23">+SUM(D12:D22)</f>
        <v>1</v>
      </c>
      <c r="E23" s="116">
        <f t="shared" si="1"/>
        <v>1</v>
      </c>
      <c r="F23" s="116">
        <f t="shared" si="1"/>
        <v>1</v>
      </c>
      <c r="G23" s="116">
        <f t="shared" si="1"/>
        <v>1</v>
      </c>
      <c r="H23" s="116">
        <f t="shared" si="1"/>
        <v>1</v>
      </c>
      <c r="I23" s="116">
        <f t="shared" si="1"/>
        <v>1</v>
      </c>
    </row>
    <row r="24" spans="1:9" ht="10.5" thickTop="1">
      <c r="A24" s="109"/>
      <c r="B24" s="109"/>
      <c r="C24" s="110"/>
      <c r="D24" s="63"/>
      <c r="E24" s="63"/>
      <c r="F24" s="63"/>
      <c r="G24" s="63"/>
      <c r="H24" s="63"/>
      <c r="I24" s="63"/>
    </row>
    <row r="25" spans="1:9" ht="9.75">
      <c r="A25" s="109"/>
      <c r="B25" s="109"/>
      <c r="C25" s="110"/>
      <c r="D25" s="63"/>
      <c r="E25" s="63"/>
      <c r="F25" s="63"/>
      <c r="G25" s="63"/>
      <c r="H25" s="63"/>
      <c r="I25" s="63"/>
    </row>
    <row r="26" spans="1:9" ht="9.75">
      <c r="A26" s="527" t="s">
        <v>412</v>
      </c>
      <c r="B26" s="528"/>
      <c r="C26" s="529"/>
      <c r="D26" s="60">
        <f aca="true" t="shared" si="2" ref="D26:I26">+D21</f>
        <v>0</v>
      </c>
      <c r="E26" s="60">
        <f t="shared" si="2"/>
        <v>0</v>
      </c>
      <c r="F26" s="60">
        <f t="shared" si="2"/>
        <v>0</v>
      </c>
      <c r="G26" s="60">
        <f t="shared" si="2"/>
        <v>0</v>
      </c>
      <c r="H26" s="60">
        <f t="shared" si="2"/>
        <v>0</v>
      </c>
      <c r="I26" s="60">
        <f t="shared" si="2"/>
        <v>0</v>
      </c>
    </row>
    <row r="27" spans="1:9" ht="9.75">
      <c r="A27" s="111" t="s">
        <v>218</v>
      </c>
      <c r="B27" s="101"/>
      <c r="C27" s="102"/>
      <c r="D27" s="404"/>
      <c r="E27" s="404"/>
      <c r="F27" s="404"/>
      <c r="G27" s="404"/>
      <c r="H27" s="404"/>
      <c r="I27" s="404"/>
    </row>
    <row r="28" spans="1:9" ht="9.75">
      <c r="A28" s="46" t="s">
        <v>219</v>
      </c>
      <c r="B28" s="112"/>
      <c r="C28" s="113"/>
      <c r="D28" s="404"/>
      <c r="E28" s="404"/>
      <c r="F28" s="404"/>
      <c r="G28" s="404"/>
      <c r="H28" s="404"/>
      <c r="I28" s="404"/>
    </row>
    <row r="29" spans="1:9" ht="9.75">
      <c r="A29" s="46" t="s">
        <v>220</v>
      </c>
      <c r="B29" s="112"/>
      <c r="C29" s="113"/>
      <c r="D29" s="404"/>
      <c r="E29" s="404"/>
      <c r="F29" s="404"/>
      <c r="G29" s="404"/>
      <c r="H29" s="404"/>
      <c r="I29" s="404"/>
    </row>
    <row r="30" spans="1:9" ht="9.75">
      <c r="A30" s="46" t="s">
        <v>221</v>
      </c>
      <c r="B30" s="112"/>
      <c r="C30" s="113"/>
      <c r="D30" s="404"/>
      <c r="E30" s="404"/>
      <c r="F30" s="404"/>
      <c r="G30" s="404"/>
      <c r="H30" s="404"/>
      <c r="I30" s="404"/>
    </row>
    <row r="31" spans="1:9" ht="9.75">
      <c r="A31" s="46" t="s">
        <v>222</v>
      </c>
      <c r="B31" s="112"/>
      <c r="C31" s="113"/>
      <c r="D31" s="404"/>
      <c r="E31" s="404"/>
      <c r="F31" s="404"/>
      <c r="G31" s="404"/>
      <c r="H31" s="404"/>
      <c r="I31" s="404"/>
    </row>
    <row r="32" spans="1:9" ht="9.75">
      <c r="A32" s="46" t="s">
        <v>223</v>
      </c>
      <c r="B32" s="112"/>
      <c r="C32" s="113"/>
      <c r="D32" s="404"/>
      <c r="E32" s="404"/>
      <c r="F32" s="404"/>
      <c r="G32" s="404"/>
      <c r="H32" s="404"/>
      <c r="I32" s="404"/>
    </row>
    <row r="33" spans="1:9" ht="9.75">
      <c r="A33" s="46" t="s">
        <v>224</v>
      </c>
      <c r="B33" s="112"/>
      <c r="C33" s="113"/>
      <c r="D33" s="404"/>
      <c r="E33" s="404"/>
      <c r="F33" s="404"/>
      <c r="G33" s="404"/>
      <c r="H33" s="404"/>
      <c r="I33" s="404"/>
    </row>
    <row r="34" spans="1:9" ht="9.75">
      <c r="A34" s="46" t="s">
        <v>225</v>
      </c>
      <c r="B34" s="112"/>
      <c r="C34" s="113"/>
      <c r="D34" s="404"/>
      <c r="E34" s="404"/>
      <c r="F34" s="404"/>
      <c r="G34" s="404"/>
      <c r="H34" s="404"/>
      <c r="I34" s="404"/>
    </row>
    <row r="35" spans="1:9" ht="9.75">
      <c r="A35" s="46" t="s">
        <v>226</v>
      </c>
      <c r="B35" s="112"/>
      <c r="C35" s="113"/>
      <c r="D35" s="404">
        <v>12</v>
      </c>
      <c r="E35" s="404">
        <v>12</v>
      </c>
      <c r="F35" s="404">
        <v>12</v>
      </c>
      <c r="G35" s="404">
        <v>12</v>
      </c>
      <c r="H35" s="404">
        <v>12</v>
      </c>
      <c r="I35" s="404">
        <v>12</v>
      </c>
    </row>
    <row r="36" spans="1:9" ht="9.75">
      <c r="A36" s="47"/>
      <c r="B36" s="114"/>
      <c r="C36" s="115"/>
      <c r="D36" s="41"/>
      <c r="E36" s="41"/>
      <c r="F36" s="41"/>
      <c r="G36" s="41"/>
      <c r="H36" s="41"/>
      <c r="I36" s="41"/>
    </row>
    <row r="37" spans="1:9" ht="9.75">
      <c r="A37" s="47"/>
      <c r="B37" s="114"/>
      <c r="C37" s="115"/>
      <c r="D37" s="41"/>
      <c r="E37" s="41"/>
      <c r="F37" s="41"/>
      <c r="G37" s="41"/>
      <c r="H37" s="41"/>
      <c r="I37" s="41"/>
    </row>
    <row r="38" spans="1:9" ht="9.75">
      <c r="A38" s="109"/>
      <c r="B38" s="109"/>
      <c r="C38" s="110"/>
      <c r="D38" s="63"/>
      <c r="E38" s="63"/>
      <c r="F38" s="63"/>
      <c r="G38" s="63"/>
      <c r="H38" s="63"/>
      <c r="I38" s="63"/>
    </row>
    <row r="39" spans="1:9" ht="9.75">
      <c r="A39" s="109"/>
      <c r="B39" s="109"/>
      <c r="C39" s="110"/>
      <c r="D39" s="63"/>
      <c r="E39" s="63"/>
      <c r="F39" s="63"/>
      <c r="G39" s="63"/>
      <c r="H39" s="63"/>
      <c r="I39" s="63"/>
    </row>
    <row r="40" spans="1:9" ht="9.75">
      <c r="A40" s="527" t="s">
        <v>227</v>
      </c>
      <c r="B40" s="528"/>
      <c r="C40" s="529"/>
      <c r="D40" s="60">
        <f aca="true" t="shared" si="3" ref="D40:I40">+D11</f>
        <v>2017</v>
      </c>
      <c r="E40" s="60">
        <f t="shared" si="3"/>
        <v>2018</v>
      </c>
      <c r="F40" s="60">
        <f t="shared" si="3"/>
        <v>2019</v>
      </c>
      <c r="G40" s="60">
        <f t="shared" si="3"/>
        <v>2020</v>
      </c>
      <c r="H40" s="60">
        <f t="shared" si="3"/>
        <v>2021</v>
      </c>
      <c r="I40" s="60">
        <f t="shared" si="3"/>
        <v>2022</v>
      </c>
    </row>
    <row r="41" spans="1:9" ht="9.75">
      <c r="A41" s="111" t="str">
        <f aca="true" t="shared" si="4" ref="A41:A51">+A12</f>
        <v>Administração / Direcção</v>
      </c>
      <c r="B41" s="101"/>
      <c r="C41" s="102"/>
      <c r="D41" s="44"/>
      <c r="E41" s="44">
        <f>+ROUND(D41*(1+E8),2)</f>
        <v>0</v>
      </c>
      <c r="F41" s="44">
        <f>+ROUND(E41*(1+F8),2)</f>
        <v>0</v>
      </c>
      <c r="G41" s="44">
        <f>+ROUND(F41*(1+G8),2)</f>
        <v>0</v>
      </c>
      <c r="H41" s="44">
        <f>+ROUND(G41*(1+H8),2)</f>
        <v>0</v>
      </c>
      <c r="I41" s="44">
        <f>+ROUND(H41*(1+I8),2)</f>
        <v>0</v>
      </c>
    </row>
    <row r="42" spans="1:9" ht="9.75">
      <c r="A42" s="111" t="str">
        <f t="shared" si="4"/>
        <v>Administrativa Financeira</v>
      </c>
      <c r="B42" s="101"/>
      <c r="C42" s="102"/>
      <c r="D42" s="44"/>
      <c r="E42" s="44">
        <f>+ROUND(D42*(1+E8),2)</f>
        <v>0</v>
      </c>
      <c r="F42" s="44">
        <f>+ROUND(E42*(1+F8),2)</f>
        <v>0</v>
      </c>
      <c r="G42" s="44">
        <f>+ROUND(F42*(1+G8),2)</f>
        <v>0</v>
      </c>
      <c r="H42" s="44">
        <f>+ROUND(G42*(1+H8),2)</f>
        <v>0</v>
      </c>
      <c r="I42" s="44">
        <f>+ROUND(H42*(1+I8),2)</f>
        <v>0</v>
      </c>
    </row>
    <row r="43" spans="1:9" ht="9.75">
      <c r="A43" s="111" t="str">
        <f t="shared" si="4"/>
        <v>Comercial / Marketing</v>
      </c>
      <c r="B43" s="101"/>
      <c r="C43" s="102"/>
      <c r="D43" s="44"/>
      <c r="E43" s="44">
        <f>+ROUND(D43*(1+E8),2)</f>
        <v>0</v>
      </c>
      <c r="F43" s="44">
        <f>+ROUND(E43*(1+F8),2)</f>
        <v>0</v>
      </c>
      <c r="G43" s="44">
        <f>+ROUND(F43*(1+G8),2)</f>
        <v>0</v>
      </c>
      <c r="H43" s="44">
        <f>+ROUND(G43*(1+H8),2)</f>
        <v>0</v>
      </c>
      <c r="I43" s="44">
        <f>+ROUND(H43*(1+I8),2)</f>
        <v>0</v>
      </c>
    </row>
    <row r="44" spans="1:9" ht="9.75">
      <c r="A44" s="111" t="str">
        <f t="shared" si="4"/>
        <v>Produção / Operacional</v>
      </c>
      <c r="B44" s="101"/>
      <c r="C44" s="102"/>
      <c r="D44" s="44"/>
      <c r="E44" s="44">
        <f>+ROUND(D44*(1+E8),2)</f>
        <v>0</v>
      </c>
      <c r="F44" s="44">
        <f>+ROUND(E44*(1+F8),2)</f>
        <v>0</v>
      </c>
      <c r="G44" s="44">
        <f>+ROUND(F44*(1+G8),2)</f>
        <v>0</v>
      </c>
      <c r="H44" s="44">
        <f>+ROUND(G44*(1+H8),2)</f>
        <v>0</v>
      </c>
      <c r="I44" s="44">
        <f>+ROUND(H44*(1+I8),2)</f>
        <v>0</v>
      </c>
    </row>
    <row r="45" spans="1:9" ht="9.75">
      <c r="A45" s="111" t="str">
        <f t="shared" si="4"/>
        <v>Qualidade</v>
      </c>
      <c r="B45" s="101"/>
      <c r="C45" s="102"/>
      <c r="D45" s="44"/>
      <c r="E45" s="44">
        <f>+ROUND(D45*(1+E8),2)</f>
        <v>0</v>
      </c>
      <c r="F45" s="44">
        <f>+ROUND(E45*(1+F8),2)</f>
        <v>0</v>
      </c>
      <c r="G45" s="44">
        <f>+ROUND(F45*(1+G8),2)</f>
        <v>0</v>
      </c>
      <c r="H45" s="44">
        <f>+ROUND(G45*(1+H8),2)</f>
        <v>0</v>
      </c>
      <c r="I45" s="44">
        <f>+ROUND(H45*(1+I8),2)</f>
        <v>0</v>
      </c>
    </row>
    <row r="46" spans="1:9" ht="9.75">
      <c r="A46" s="111" t="str">
        <f t="shared" si="4"/>
        <v>Manutenção</v>
      </c>
      <c r="B46" s="101"/>
      <c r="C46" s="102"/>
      <c r="D46" s="44"/>
      <c r="E46" s="44">
        <f>+ROUND(D46*(1+E8),2)</f>
        <v>0</v>
      </c>
      <c r="F46" s="44">
        <f>+ROUND(E46*(1+F8),2)</f>
        <v>0</v>
      </c>
      <c r="G46" s="44">
        <f>+ROUND(F46*(1+G8),2)</f>
        <v>0</v>
      </c>
      <c r="H46" s="44">
        <f>+ROUND(G46*(1+H8),2)</f>
        <v>0</v>
      </c>
      <c r="I46" s="44">
        <f>+ROUND(H46*(1+I8),2)</f>
        <v>0</v>
      </c>
    </row>
    <row r="47" spans="1:9" ht="9.75">
      <c r="A47" s="111" t="str">
        <f t="shared" si="4"/>
        <v>Aprovisionamento</v>
      </c>
      <c r="B47" s="101"/>
      <c r="C47" s="102"/>
      <c r="D47" s="44"/>
      <c r="E47" s="44">
        <f>+ROUND(D47*(1+E8),2)</f>
        <v>0</v>
      </c>
      <c r="F47" s="44">
        <f>+ROUND(E47*(1+F8),2)</f>
        <v>0</v>
      </c>
      <c r="G47" s="44">
        <f>+ROUND(F47*(1+G8),2)</f>
        <v>0</v>
      </c>
      <c r="H47" s="44">
        <f>+ROUND(G47*(1+H8),2)</f>
        <v>0</v>
      </c>
      <c r="I47" s="44">
        <f>+ROUND(H47*(1+I8),2)</f>
        <v>0</v>
      </c>
    </row>
    <row r="48" spans="1:9" ht="9.75">
      <c r="A48" s="111" t="str">
        <f t="shared" si="4"/>
        <v>Investigação &amp; Desenvolvimento</v>
      </c>
      <c r="B48" s="101"/>
      <c r="C48" s="102"/>
      <c r="D48" s="44"/>
      <c r="E48" s="44">
        <f>+ROUND(D48*(1+E8),2)</f>
        <v>0</v>
      </c>
      <c r="F48" s="44">
        <f>+ROUND(E48*(1+F8),2)</f>
        <v>0</v>
      </c>
      <c r="G48" s="44">
        <f>+ROUND(F48*(1+G8),2)</f>
        <v>0</v>
      </c>
      <c r="H48" s="44">
        <f>+ROUND(G48*(1+H8),2)</f>
        <v>0</v>
      </c>
      <c r="I48" s="44">
        <f>+ROUND(H48*(1+I8),2)</f>
        <v>0</v>
      </c>
    </row>
    <row r="49" spans="1:9" ht="9.75">
      <c r="A49" s="111" t="str">
        <f t="shared" si="4"/>
        <v>Outros</v>
      </c>
      <c r="B49" s="101"/>
      <c r="C49" s="102"/>
      <c r="D49" s="44">
        <v>2000</v>
      </c>
      <c r="E49" s="44">
        <f>+ROUND(D49*(1+E8),2)</f>
        <v>2000</v>
      </c>
      <c r="F49" s="44">
        <f>+ROUND(E49*(1+F8),2)</f>
        <v>2000</v>
      </c>
      <c r="G49" s="44">
        <f>+ROUND(F49*(1+G8),2)</f>
        <v>2000</v>
      </c>
      <c r="H49" s="44">
        <f>+ROUND(G49*(1+H8),2)</f>
        <v>2000</v>
      </c>
      <c r="I49" s="44">
        <f>+ROUND(H49*(1+I8),2)</f>
        <v>2000</v>
      </c>
    </row>
    <row r="50" spans="1:9" ht="9.75">
      <c r="A50" s="111">
        <f t="shared" si="4"/>
        <v>0</v>
      </c>
      <c r="B50" s="118"/>
      <c r="C50" s="119"/>
      <c r="D50" s="45"/>
      <c r="E50" s="44">
        <f>+ROUND(D50*(1+E8),2)</f>
        <v>0</v>
      </c>
      <c r="F50" s="44">
        <f>+ROUND(E50*(1+F8),2)</f>
        <v>0</v>
      </c>
      <c r="G50" s="44">
        <f>+ROUND(F50*(1+G8),2)</f>
        <v>0</v>
      </c>
      <c r="H50" s="44">
        <f>+ROUND(G50*(1+H8),2)</f>
        <v>0</v>
      </c>
      <c r="I50" s="44">
        <f>+ROUND(H50*(1+I8),2)</f>
        <v>0</v>
      </c>
    </row>
    <row r="51" spans="1:9" ht="9.75">
      <c r="A51" s="111">
        <f t="shared" si="4"/>
        <v>0</v>
      </c>
      <c r="B51" s="118"/>
      <c r="C51" s="119"/>
      <c r="D51" s="44"/>
      <c r="E51" s="44">
        <f>+ROUND(D51*(1+E8),2)</f>
        <v>0</v>
      </c>
      <c r="F51" s="44">
        <f>+ROUND(E51*(1+F8),2)</f>
        <v>0</v>
      </c>
      <c r="G51" s="44">
        <f>+ROUND(F51*(1+G8),2)</f>
        <v>0</v>
      </c>
      <c r="H51" s="44">
        <f>+ROUND(G51*(1+H8),2)</f>
        <v>0</v>
      </c>
      <c r="I51" s="44">
        <f>+ROUND(H51*(1+I8),2)</f>
        <v>0</v>
      </c>
    </row>
    <row r="52" spans="1:9" ht="9.75">
      <c r="A52" s="120"/>
      <c r="B52" s="121"/>
      <c r="C52" s="122"/>
      <c r="D52" s="123"/>
      <c r="E52" s="123"/>
      <c r="F52" s="123"/>
      <c r="G52" s="123"/>
      <c r="H52" s="123"/>
      <c r="I52" s="123"/>
    </row>
    <row r="53" spans="1:9" ht="9.75">
      <c r="A53" s="120"/>
      <c r="B53" s="121"/>
      <c r="C53" s="122"/>
      <c r="D53" s="123"/>
      <c r="E53" s="123"/>
      <c r="F53" s="123"/>
      <c r="G53" s="123"/>
      <c r="H53" s="123"/>
      <c r="I53" s="123"/>
    </row>
    <row r="54" spans="1:9" ht="9.75">
      <c r="A54" s="527" t="s">
        <v>228</v>
      </c>
      <c r="B54" s="528"/>
      <c r="C54" s="529"/>
      <c r="D54" s="60">
        <f aca="true" t="shared" si="5" ref="D54:I54">+D40</f>
        <v>2017</v>
      </c>
      <c r="E54" s="60">
        <f t="shared" si="5"/>
        <v>2018</v>
      </c>
      <c r="F54" s="60">
        <f t="shared" si="5"/>
        <v>2019</v>
      </c>
      <c r="G54" s="60">
        <f t="shared" si="5"/>
        <v>2020</v>
      </c>
      <c r="H54" s="60">
        <f t="shared" si="5"/>
        <v>2021</v>
      </c>
      <c r="I54" s="60">
        <f t="shared" si="5"/>
        <v>2022</v>
      </c>
    </row>
    <row r="55" spans="1:9" ht="9.75">
      <c r="A55" s="111" t="str">
        <f>+A41</f>
        <v>Administração / Direcção</v>
      </c>
      <c r="B55" s="101"/>
      <c r="C55" s="102"/>
      <c r="D55" s="124">
        <f aca="true" t="shared" si="6" ref="D55:D65">+D12*D27/12*D41*$D$7</f>
        <v>0</v>
      </c>
      <c r="E55" s="124">
        <f aca="true" t="shared" si="7" ref="E55:E65">+E12*E27/12*E41*$E$7</f>
        <v>0</v>
      </c>
      <c r="F55" s="124">
        <f aca="true" t="shared" si="8" ref="F55:F65">+F12*F27/12*F41*$F$7</f>
        <v>0</v>
      </c>
      <c r="G55" s="124">
        <f aca="true" t="shared" si="9" ref="G55:G65">+G12*G27/12*G41*$G$7</f>
        <v>0</v>
      </c>
      <c r="H55" s="124">
        <f aca="true" t="shared" si="10" ref="H55:H65">+H12*H27/12*H41*$H$7</f>
        <v>0</v>
      </c>
      <c r="I55" s="124">
        <f aca="true" t="shared" si="11" ref="I55:I65">+I12*I27/12*I41*$I$7</f>
        <v>0</v>
      </c>
    </row>
    <row r="56" spans="1:9" ht="9.75">
      <c r="A56" s="111" t="str">
        <f aca="true" t="shared" si="12" ref="A56:A65">+A42</f>
        <v>Administrativa Financeira</v>
      </c>
      <c r="B56" s="101"/>
      <c r="C56" s="102"/>
      <c r="D56" s="124">
        <f t="shared" si="6"/>
        <v>0</v>
      </c>
      <c r="E56" s="124">
        <f t="shared" si="7"/>
        <v>0</v>
      </c>
      <c r="F56" s="124">
        <f t="shared" si="8"/>
        <v>0</v>
      </c>
      <c r="G56" s="124">
        <f t="shared" si="9"/>
        <v>0</v>
      </c>
      <c r="H56" s="124">
        <f t="shared" si="10"/>
        <v>0</v>
      </c>
      <c r="I56" s="124">
        <f t="shared" si="11"/>
        <v>0</v>
      </c>
    </row>
    <row r="57" spans="1:9" ht="9.75">
      <c r="A57" s="111" t="str">
        <f t="shared" si="12"/>
        <v>Comercial / Marketing</v>
      </c>
      <c r="B57" s="101"/>
      <c r="C57" s="102"/>
      <c r="D57" s="124">
        <f t="shared" si="6"/>
        <v>0</v>
      </c>
      <c r="E57" s="124">
        <f t="shared" si="7"/>
        <v>0</v>
      </c>
      <c r="F57" s="124">
        <f t="shared" si="8"/>
        <v>0</v>
      </c>
      <c r="G57" s="124">
        <f t="shared" si="9"/>
        <v>0</v>
      </c>
      <c r="H57" s="124">
        <f t="shared" si="10"/>
        <v>0</v>
      </c>
      <c r="I57" s="124">
        <f t="shared" si="11"/>
        <v>0</v>
      </c>
    </row>
    <row r="58" spans="1:9" ht="9.75">
      <c r="A58" s="111" t="str">
        <f t="shared" si="12"/>
        <v>Produção / Operacional</v>
      </c>
      <c r="B58" s="101"/>
      <c r="C58" s="102"/>
      <c r="D58" s="124">
        <f t="shared" si="6"/>
        <v>0</v>
      </c>
      <c r="E58" s="124">
        <f t="shared" si="7"/>
        <v>0</v>
      </c>
      <c r="F58" s="124">
        <f t="shared" si="8"/>
        <v>0</v>
      </c>
      <c r="G58" s="124">
        <f t="shared" si="9"/>
        <v>0</v>
      </c>
      <c r="H58" s="124">
        <f t="shared" si="10"/>
        <v>0</v>
      </c>
      <c r="I58" s="124">
        <f t="shared" si="11"/>
        <v>0</v>
      </c>
    </row>
    <row r="59" spans="1:9" ht="9.75">
      <c r="A59" s="111" t="str">
        <f t="shared" si="12"/>
        <v>Qualidade</v>
      </c>
      <c r="B59" s="101"/>
      <c r="C59" s="102"/>
      <c r="D59" s="124">
        <f t="shared" si="6"/>
        <v>0</v>
      </c>
      <c r="E59" s="124">
        <f t="shared" si="7"/>
        <v>0</v>
      </c>
      <c r="F59" s="124">
        <f t="shared" si="8"/>
        <v>0</v>
      </c>
      <c r="G59" s="124">
        <f t="shared" si="9"/>
        <v>0</v>
      </c>
      <c r="H59" s="124">
        <f t="shared" si="10"/>
        <v>0</v>
      </c>
      <c r="I59" s="124">
        <f t="shared" si="11"/>
        <v>0</v>
      </c>
    </row>
    <row r="60" spans="1:9" ht="9.75">
      <c r="A60" s="111" t="str">
        <f t="shared" si="12"/>
        <v>Manutenção</v>
      </c>
      <c r="B60" s="101"/>
      <c r="C60" s="102"/>
      <c r="D60" s="124">
        <f t="shared" si="6"/>
        <v>0</v>
      </c>
      <c r="E60" s="124">
        <f t="shared" si="7"/>
        <v>0</v>
      </c>
      <c r="F60" s="124">
        <f t="shared" si="8"/>
        <v>0</v>
      </c>
      <c r="G60" s="124">
        <f t="shared" si="9"/>
        <v>0</v>
      </c>
      <c r="H60" s="124">
        <f t="shared" si="10"/>
        <v>0</v>
      </c>
      <c r="I60" s="124">
        <f t="shared" si="11"/>
        <v>0</v>
      </c>
    </row>
    <row r="61" spans="1:9" ht="9.75">
      <c r="A61" s="111" t="str">
        <f t="shared" si="12"/>
        <v>Aprovisionamento</v>
      </c>
      <c r="B61" s="101"/>
      <c r="C61" s="102"/>
      <c r="D61" s="124">
        <f t="shared" si="6"/>
        <v>0</v>
      </c>
      <c r="E61" s="124">
        <f t="shared" si="7"/>
        <v>0</v>
      </c>
      <c r="F61" s="124">
        <f t="shared" si="8"/>
        <v>0</v>
      </c>
      <c r="G61" s="124">
        <f t="shared" si="9"/>
        <v>0</v>
      </c>
      <c r="H61" s="124">
        <f t="shared" si="10"/>
        <v>0</v>
      </c>
      <c r="I61" s="124">
        <f t="shared" si="11"/>
        <v>0</v>
      </c>
    </row>
    <row r="62" spans="1:9" ht="9.75">
      <c r="A62" s="111" t="str">
        <f t="shared" si="12"/>
        <v>Investigação &amp; Desenvolvimento</v>
      </c>
      <c r="B62" s="101"/>
      <c r="C62" s="102"/>
      <c r="D62" s="124">
        <f t="shared" si="6"/>
        <v>0</v>
      </c>
      <c r="E62" s="124">
        <f t="shared" si="7"/>
        <v>0</v>
      </c>
      <c r="F62" s="124">
        <f t="shared" si="8"/>
        <v>0</v>
      </c>
      <c r="G62" s="124">
        <f t="shared" si="9"/>
        <v>0</v>
      </c>
      <c r="H62" s="124">
        <f t="shared" si="10"/>
        <v>0</v>
      </c>
      <c r="I62" s="124">
        <f t="shared" si="11"/>
        <v>0</v>
      </c>
    </row>
    <row r="63" spans="1:9" ht="9.75">
      <c r="A63" s="111" t="str">
        <f t="shared" si="12"/>
        <v>Outros</v>
      </c>
      <c r="B63" s="101"/>
      <c r="C63" s="102"/>
      <c r="D63" s="124">
        <f t="shared" si="6"/>
        <v>28000</v>
      </c>
      <c r="E63" s="124">
        <f t="shared" si="7"/>
        <v>28000</v>
      </c>
      <c r="F63" s="124">
        <f t="shared" si="8"/>
        <v>28000</v>
      </c>
      <c r="G63" s="124">
        <f t="shared" si="9"/>
        <v>28000</v>
      </c>
      <c r="H63" s="124">
        <f t="shared" si="10"/>
        <v>28000</v>
      </c>
      <c r="I63" s="124">
        <f t="shared" si="11"/>
        <v>28000</v>
      </c>
    </row>
    <row r="64" spans="1:9" ht="9.75">
      <c r="A64" s="111">
        <f t="shared" si="12"/>
        <v>0</v>
      </c>
      <c r="B64" s="118"/>
      <c r="C64" s="119"/>
      <c r="D64" s="124">
        <f t="shared" si="6"/>
        <v>0</v>
      </c>
      <c r="E64" s="124">
        <f t="shared" si="7"/>
        <v>0</v>
      </c>
      <c r="F64" s="124">
        <f t="shared" si="8"/>
        <v>0</v>
      </c>
      <c r="G64" s="124">
        <f t="shared" si="9"/>
        <v>0</v>
      </c>
      <c r="H64" s="124">
        <f t="shared" si="10"/>
        <v>0</v>
      </c>
      <c r="I64" s="124">
        <f t="shared" si="11"/>
        <v>0</v>
      </c>
    </row>
    <row r="65" spans="1:9" ht="9.75">
      <c r="A65" s="111">
        <f t="shared" si="12"/>
        <v>0</v>
      </c>
      <c r="B65" s="118"/>
      <c r="C65" s="119"/>
      <c r="D65" s="124">
        <f t="shared" si="6"/>
        <v>0</v>
      </c>
      <c r="E65" s="124">
        <f t="shared" si="7"/>
        <v>0</v>
      </c>
      <c r="F65" s="124">
        <f t="shared" si="8"/>
        <v>0</v>
      </c>
      <c r="G65" s="124">
        <f t="shared" si="9"/>
        <v>0</v>
      </c>
      <c r="H65" s="124">
        <f t="shared" si="10"/>
        <v>0</v>
      </c>
      <c r="I65" s="124">
        <f t="shared" si="11"/>
        <v>0</v>
      </c>
    </row>
    <row r="66" spans="1:9" ht="10.5" thickBot="1">
      <c r="A66" s="520" t="s">
        <v>46</v>
      </c>
      <c r="B66" s="521"/>
      <c r="C66" s="522"/>
      <c r="D66" s="125">
        <f aca="true" t="shared" si="13" ref="D66:I66">+SUM(D55:D65)</f>
        <v>28000</v>
      </c>
      <c r="E66" s="125">
        <f t="shared" si="13"/>
        <v>28000</v>
      </c>
      <c r="F66" s="125">
        <f t="shared" si="13"/>
        <v>28000</v>
      </c>
      <c r="G66" s="125">
        <f t="shared" si="13"/>
        <v>28000</v>
      </c>
      <c r="H66" s="125">
        <f t="shared" si="13"/>
        <v>28000</v>
      </c>
      <c r="I66" s="125">
        <f t="shared" si="13"/>
        <v>28000</v>
      </c>
    </row>
    <row r="67" spans="1:9" ht="10.5" thickTop="1">
      <c r="A67" s="120"/>
      <c r="B67" s="121"/>
      <c r="C67" s="122"/>
      <c r="D67" s="123"/>
      <c r="E67" s="123"/>
      <c r="F67" s="123"/>
      <c r="G67" s="123"/>
      <c r="H67" s="123"/>
      <c r="I67" s="123"/>
    </row>
    <row r="68" spans="1:9" ht="9.75">
      <c r="A68" s="63"/>
      <c r="B68" s="63"/>
      <c r="C68" s="126"/>
      <c r="D68" s="127"/>
      <c r="E68" s="127"/>
      <c r="F68" s="127"/>
      <c r="G68" s="127"/>
      <c r="H68" s="127"/>
      <c r="I68" s="127"/>
    </row>
    <row r="69" spans="1:9" ht="9.75">
      <c r="A69" s="530" t="s">
        <v>344</v>
      </c>
      <c r="B69" s="531"/>
      <c r="C69" s="532"/>
      <c r="D69" s="60">
        <f aca="true" t="shared" si="14" ref="D69:I69">+D6</f>
        <v>2017</v>
      </c>
      <c r="E69" s="60">
        <f t="shared" si="14"/>
        <v>2018</v>
      </c>
      <c r="F69" s="60">
        <f t="shared" si="14"/>
        <v>2019</v>
      </c>
      <c r="G69" s="60">
        <f t="shared" si="14"/>
        <v>2020</v>
      </c>
      <c r="H69" s="60">
        <f t="shared" si="14"/>
        <v>2021</v>
      </c>
      <c r="I69" s="60">
        <f t="shared" si="14"/>
        <v>2022</v>
      </c>
    </row>
    <row r="70" spans="1:9" ht="9.75">
      <c r="A70" s="128" t="s">
        <v>79</v>
      </c>
      <c r="B70" s="129"/>
      <c r="C70" s="84"/>
      <c r="D70" s="84"/>
      <c r="E70" s="84"/>
      <c r="F70" s="84"/>
      <c r="G70" s="84"/>
      <c r="H70" s="84"/>
      <c r="I70" s="84"/>
    </row>
    <row r="71" spans="1:9" ht="9.75">
      <c r="A71" s="64" t="s">
        <v>339</v>
      </c>
      <c r="B71" s="130"/>
      <c r="C71" s="131">
        <f>+Pressupostos!B24</f>
        <v>0.2375</v>
      </c>
      <c r="D71" s="132">
        <f aca="true" t="shared" si="15" ref="D71:I71">$C$71*(D55+D77)</f>
        <v>0</v>
      </c>
      <c r="E71" s="132">
        <f t="shared" si="15"/>
        <v>0</v>
      </c>
      <c r="F71" s="132">
        <f t="shared" si="15"/>
        <v>0</v>
      </c>
      <c r="G71" s="132">
        <f t="shared" si="15"/>
        <v>0</v>
      </c>
      <c r="H71" s="132">
        <f t="shared" si="15"/>
        <v>0</v>
      </c>
      <c r="I71" s="132">
        <f t="shared" si="15"/>
        <v>0</v>
      </c>
    </row>
    <row r="72" spans="1:9" ht="9.75">
      <c r="A72" s="64" t="s">
        <v>31</v>
      </c>
      <c r="B72" s="130"/>
      <c r="C72" s="131">
        <f>+Pressupostos!B25</f>
        <v>0.2375</v>
      </c>
      <c r="D72" s="132">
        <f aca="true" t="shared" si="16" ref="D72:I72">+$C$72*(SUM(D56:D65)+D78)</f>
        <v>6650</v>
      </c>
      <c r="E72" s="132">
        <f t="shared" si="16"/>
        <v>6650</v>
      </c>
      <c r="F72" s="132">
        <f t="shared" si="16"/>
        <v>6650</v>
      </c>
      <c r="G72" s="132">
        <f t="shared" si="16"/>
        <v>6650</v>
      </c>
      <c r="H72" s="132">
        <f t="shared" si="16"/>
        <v>6650</v>
      </c>
      <c r="I72" s="132">
        <f t="shared" si="16"/>
        <v>6650</v>
      </c>
    </row>
    <row r="73" spans="1:9" ht="9.75">
      <c r="A73" s="133" t="s">
        <v>21</v>
      </c>
      <c r="B73" s="134"/>
      <c r="C73" s="461"/>
      <c r="D73" s="135">
        <f aca="true" t="shared" si="17" ref="D73:I73">+$C$73*D66</f>
        <v>0</v>
      </c>
      <c r="E73" s="135">
        <f t="shared" si="17"/>
        <v>0</v>
      </c>
      <c r="F73" s="135">
        <f t="shared" si="17"/>
        <v>0</v>
      </c>
      <c r="G73" s="135">
        <f t="shared" si="17"/>
        <v>0</v>
      </c>
      <c r="H73" s="135">
        <f t="shared" si="17"/>
        <v>0</v>
      </c>
      <c r="I73" s="135">
        <f t="shared" si="17"/>
        <v>0</v>
      </c>
    </row>
    <row r="74" spans="1:9" ht="9.75">
      <c r="A74" s="133" t="s">
        <v>450</v>
      </c>
      <c r="B74" s="134"/>
      <c r="C74" s="9"/>
      <c r="D74" s="135">
        <f aca="true" t="shared" si="18" ref="D74:I74">+$C$74*D75*D23</f>
        <v>0</v>
      </c>
      <c r="E74" s="135">
        <f t="shared" si="18"/>
        <v>0</v>
      </c>
      <c r="F74" s="135">
        <f t="shared" si="18"/>
        <v>0</v>
      </c>
      <c r="G74" s="135">
        <f t="shared" si="18"/>
        <v>0</v>
      </c>
      <c r="H74" s="135">
        <f t="shared" si="18"/>
        <v>0</v>
      </c>
      <c r="I74" s="135">
        <f t="shared" si="18"/>
        <v>0</v>
      </c>
    </row>
    <row r="75" spans="1:9" ht="9.75">
      <c r="A75" s="403" t="s">
        <v>410</v>
      </c>
      <c r="B75" s="154"/>
      <c r="C75" s="84"/>
      <c r="D75" s="404"/>
      <c r="E75" s="404"/>
      <c r="F75" s="404"/>
      <c r="G75" s="404"/>
      <c r="H75" s="404"/>
      <c r="I75" s="404"/>
    </row>
    <row r="76" spans="1:9" ht="9.75">
      <c r="A76" s="133" t="s">
        <v>352</v>
      </c>
      <c r="B76" s="154"/>
      <c r="C76" s="84"/>
      <c r="D76" s="132"/>
      <c r="E76" s="132"/>
      <c r="F76" s="132"/>
      <c r="G76" s="132"/>
      <c r="H76" s="132"/>
      <c r="I76" s="132"/>
    </row>
    <row r="77" spans="1:9" ht="9.75">
      <c r="A77" s="64" t="s">
        <v>339</v>
      </c>
      <c r="B77" s="130"/>
      <c r="C77" s="42"/>
      <c r="D77" s="285"/>
      <c r="E77" s="285"/>
      <c r="F77" s="285"/>
      <c r="G77" s="285"/>
      <c r="H77" s="285"/>
      <c r="I77" s="285"/>
    </row>
    <row r="78" spans="1:9" ht="9.75">
      <c r="A78" s="64" t="s">
        <v>31</v>
      </c>
      <c r="B78" s="130"/>
      <c r="C78" s="42"/>
      <c r="D78" s="285"/>
      <c r="E78" s="285"/>
      <c r="F78" s="285"/>
      <c r="G78" s="285"/>
      <c r="H78" s="285"/>
      <c r="I78" s="285"/>
    </row>
    <row r="79" spans="1:9" ht="9.75">
      <c r="A79" s="136" t="s">
        <v>45</v>
      </c>
      <c r="B79" s="136"/>
      <c r="C79" s="137"/>
      <c r="D79" s="35"/>
      <c r="E79" s="35"/>
      <c r="F79" s="35"/>
      <c r="G79" s="35"/>
      <c r="H79" s="35"/>
      <c r="I79" s="35"/>
    </row>
    <row r="80" spans="1:9" ht="9.75">
      <c r="A80" s="138" t="s">
        <v>81</v>
      </c>
      <c r="B80" s="119"/>
      <c r="C80" s="139"/>
      <c r="D80" s="37"/>
      <c r="E80" s="37"/>
      <c r="F80" s="37"/>
      <c r="G80" s="37"/>
      <c r="H80" s="37"/>
      <c r="I80" s="37"/>
    </row>
    <row r="81" spans="1:9" ht="14.25" customHeight="1" thickBot="1">
      <c r="A81" s="524" t="s">
        <v>345</v>
      </c>
      <c r="B81" s="525"/>
      <c r="C81" s="526"/>
      <c r="D81" s="40">
        <f aca="true" t="shared" si="19" ref="D81:I81">+D71+D72+D73+D74+D77+D78+D79+D80</f>
        <v>6650</v>
      </c>
      <c r="E81" s="40">
        <f t="shared" si="19"/>
        <v>6650</v>
      </c>
      <c r="F81" s="40">
        <f t="shared" si="19"/>
        <v>6650</v>
      </c>
      <c r="G81" s="40">
        <f t="shared" si="19"/>
        <v>6650</v>
      </c>
      <c r="H81" s="40">
        <f t="shared" si="19"/>
        <v>6650</v>
      </c>
      <c r="I81" s="40">
        <f t="shared" si="19"/>
        <v>6650</v>
      </c>
    </row>
    <row r="82" spans="1:9" ht="10.5" thickTop="1">
      <c r="A82" s="121"/>
      <c r="B82" s="121"/>
      <c r="C82" s="140"/>
      <c r="D82" s="63"/>
      <c r="E82" s="63"/>
      <c r="F82" s="63"/>
      <c r="G82" s="63"/>
      <c r="H82" s="63"/>
      <c r="I82" s="63"/>
    </row>
    <row r="83" spans="1:9" ht="10.5" thickBot="1">
      <c r="A83" s="524" t="s">
        <v>346</v>
      </c>
      <c r="B83" s="525"/>
      <c r="C83" s="526"/>
      <c r="D83" s="40">
        <f aca="true" t="shared" si="20" ref="D83:I83">D66+D81</f>
        <v>34650</v>
      </c>
      <c r="E83" s="40">
        <f t="shared" si="20"/>
        <v>34650</v>
      </c>
      <c r="F83" s="40">
        <f t="shared" si="20"/>
        <v>34650</v>
      </c>
      <c r="G83" s="40">
        <f t="shared" si="20"/>
        <v>34650</v>
      </c>
      <c r="H83" s="40">
        <f t="shared" si="20"/>
        <v>34650</v>
      </c>
      <c r="I83" s="40">
        <f t="shared" si="20"/>
        <v>34650</v>
      </c>
    </row>
    <row r="84" spans="1:9" ht="10.5" thickTop="1">
      <c r="A84" s="121"/>
      <c r="B84" s="121"/>
      <c r="C84" s="140"/>
      <c r="D84" s="63"/>
      <c r="E84" s="63"/>
      <c r="F84" s="63"/>
      <c r="G84" s="63"/>
      <c r="H84" s="63"/>
      <c r="I84" s="63"/>
    </row>
    <row r="85" spans="1:9" ht="9.75">
      <c r="A85" s="121"/>
      <c r="B85" s="121"/>
      <c r="C85" s="140"/>
      <c r="D85" s="63"/>
      <c r="E85" s="63"/>
      <c r="F85" s="63"/>
      <c r="G85" s="63"/>
      <c r="H85" s="63"/>
      <c r="I85" s="63"/>
    </row>
    <row r="86" spans="1:9" ht="9.75">
      <c r="A86" s="530" t="s">
        <v>80</v>
      </c>
      <c r="B86" s="531"/>
      <c r="C86" s="532"/>
      <c r="D86" s="60">
        <f aca="true" t="shared" si="21" ref="D86:I86">+D6</f>
        <v>2017</v>
      </c>
      <c r="E86" s="60">
        <f t="shared" si="21"/>
        <v>2018</v>
      </c>
      <c r="F86" s="60">
        <f t="shared" si="21"/>
        <v>2019</v>
      </c>
      <c r="G86" s="60">
        <f t="shared" si="21"/>
        <v>2020</v>
      </c>
      <c r="H86" s="60">
        <f t="shared" si="21"/>
        <v>2021</v>
      </c>
      <c r="I86" s="60">
        <f t="shared" si="21"/>
        <v>2022</v>
      </c>
    </row>
    <row r="87" spans="1:9" ht="9.75">
      <c r="A87" s="141" t="s">
        <v>338</v>
      </c>
      <c r="B87" s="102"/>
      <c r="C87" s="139"/>
      <c r="D87" s="105"/>
      <c r="E87" s="105"/>
      <c r="F87" s="105"/>
      <c r="G87" s="105"/>
      <c r="H87" s="105"/>
      <c r="I87" s="105"/>
    </row>
    <row r="88" spans="1:9" ht="9.75">
      <c r="A88" s="64" t="s">
        <v>339</v>
      </c>
      <c r="B88" s="142"/>
      <c r="C88" s="139"/>
      <c r="D88" s="132">
        <f aca="true" t="shared" si="22" ref="D88:I88">D55+D77</f>
        <v>0</v>
      </c>
      <c r="E88" s="132">
        <f t="shared" si="22"/>
        <v>0</v>
      </c>
      <c r="F88" s="132">
        <f t="shared" si="22"/>
        <v>0</v>
      </c>
      <c r="G88" s="132">
        <f t="shared" si="22"/>
        <v>0</v>
      </c>
      <c r="H88" s="132">
        <f t="shared" si="22"/>
        <v>0</v>
      </c>
      <c r="I88" s="132">
        <f t="shared" si="22"/>
        <v>0</v>
      </c>
    </row>
    <row r="89" spans="1:9" ht="9.75">
      <c r="A89" s="64" t="s">
        <v>31</v>
      </c>
      <c r="B89" s="142"/>
      <c r="C89" s="139"/>
      <c r="D89" s="132">
        <f aca="true" t="shared" si="23" ref="D89:I89">+SUM(D56:D65)+D78</f>
        <v>28000</v>
      </c>
      <c r="E89" s="132">
        <f t="shared" si="23"/>
        <v>28000</v>
      </c>
      <c r="F89" s="132">
        <f t="shared" si="23"/>
        <v>28000</v>
      </c>
      <c r="G89" s="132">
        <f t="shared" si="23"/>
        <v>28000</v>
      </c>
      <c r="H89" s="132">
        <f t="shared" si="23"/>
        <v>28000</v>
      </c>
      <c r="I89" s="132">
        <f t="shared" si="23"/>
        <v>28000</v>
      </c>
    </row>
    <row r="90" spans="1:9" ht="9.75">
      <c r="A90" s="141" t="s">
        <v>340</v>
      </c>
      <c r="B90" s="102"/>
      <c r="C90" s="139"/>
      <c r="D90" s="132">
        <f aca="true" t="shared" si="24" ref="D90:I90">+D71+D72</f>
        <v>6650</v>
      </c>
      <c r="E90" s="132">
        <f t="shared" si="24"/>
        <v>6650</v>
      </c>
      <c r="F90" s="132">
        <f t="shared" si="24"/>
        <v>6650</v>
      </c>
      <c r="G90" s="132">
        <f t="shared" si="24"/>
        <v>6650</v>
      </c>
      <c r="H90" s="132">
        <f t="shared" si="24"/>
        <v>6650</v>
      </c>
      <c r="I90" s="132">
        <f t="shared" si="24"/>
        <v>6650</v>
      </c>
    </row>
    <row r="91" spans="1:9" ht="9.75">
      <c r="A91" s="133" t="s">
        <v>341</v>
      </c>
      <c r="B91" s="102"/>
      <c r="C91" s="139"/>
      <c r="D91" s="132">
        <f aca="true" t="shared" si="25" ref="D91:I91">+D73</f>
        <v>0</v>
      </c>
      <c r="E91" s="132">
        <f t="shared" si="25"/>
        <v>0</v>
      </c>
      <c r="F91" s="132">
        <f t="shared" si="25"/>
        <v>0</v>
      </c>
      <c r="G91" s="132">
        <f t="shared" si="25"/>
        <v>0</v>
      </c>
      <c r="H91" s="132">
        <f t="shared" si="25"/>
        <v>0</v>
      </c>
      <c r="I91" s="132">
        <f t="shared" si="25"/>
        <v>0</v>
      </c>
    </row>
    <row r="92" spans="1:9" ht="9.75">
      <c r="A92" s="141" t="s">
        <v>342</v>
      </c>
      <c r="B92" s="102"/>
      <c r="C92" s="139"/>
      <c r="D92" s="132">
        <f aca="true" t="shared" si="26" ref="D92:I92">+D74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</row>
    <row r="93" spans="1:9" ht="9.75">
      <c r="A93" s="138" t="s">
        <v>343</v>
      </c>
      <c r="B93" s="119"/>
      <c r="C93" s="143"/>
      <c r="D93" s="345">
        <f aca="true" t="shared" si="27" ref="D93:I93">+D79+D80</f>
        <v>0</v>
      </c>
      <c r="E93" s="345">
        <f t="shared" si="27"/>
        <v>0</v>
      </c>
      <c r="F93" s="345">
        <f t="shared" si="27"/>
        <v>0</v>
      </c>
      <c r="G93" s="345">
        <f t="shared" si="27"/>
        <v>0</v>
      </c>
      <c r="H93" s="345">
        <f t="shared" si="27"/>
        <v>0</v>
      </c>
      <c r="I93" s="345">
        <f t="shared" si="27"/>
        <v>0</v>
      </c>
    </row>
    <row r="94" spans="1:9" ht="10.5" thickBot="1">
      <c r="A94" s="524" t="s">
        <v>346</v>
      </c>
      <c r="B94" s="525"/>
      <c r="C94" s="526"/>
      <c r="D94" s="40">
        <f aca="true" t="shared" si="28" ref="D94:I94">SUM(D88:D93)</f>
        <v>34650</v>
      </c>
      <c r="E94" s="40">
        <f t="shared" si="28"/>
        <v>34650</v>
      </c>
      <c r="F94" s="40">
        <f t="shared" si="28"/>
        <v>34650</v>
      </c>
      <c r="G94" s="40">
        <f t="shared" si="28"/>
        <v>34650</v>
      </c>
      <c r="H94" s="40">
        <f t="shared" si="28"/>
        <v>34650</v>
      </c>
      <c r="I94" s="40">
        <f t="shared" si="28"/>
        <v>34650</v>
      </c>
    </row>
    <row r="95" spans="1:9" ht="10.5" thickTop="1">
      <c r="A95" s="144"/>
      <c r="B95" s="144"/>
      <c r="C95" s="144"/>
      <c r="D95" s="127"/>
      <c r="E95" s="127"/>
      <c r="F95" s="127"/>
      <c r="G95" s="127"/>
      <c r="H95" s="127"/>
      <c r="I95" s="127"/>
    </row>
    <row r="96" spans="1:9" ht="9.75">
      <c r="A96" s="121"/>
      <c r="B96" s="121"/>
      <c r="C96" s="63"/>
      <c r="D96" s="63"/>
      <c r="E96" s="63"/>
      <c r="F96" s="63"/>
      <c r="G96" s="63"/>
      <c r="H96" s="63"/>
      <c r="I96" s="63"/>
    </row>
    <row r="97" spans="1:9" ht="9.75">
      <c r="A97" s="530" t="s">
        <v>157</v>
      </c>
      <c r="B97" s="531"/>
      <c r="C97" s="532"/>
      <c r="D97" s="60">
        <f aca="true" t="shared" si="29" ref="D97:I97">+D86</f>
        <v>2017</v>
      </c>
      <c r="E97" s="60">
        <f t="shared" si="29"/>
        <v>2018</v>
      </c>
      <c r="F97" s="60">
        <f t="shared" si="29"/>
        <v>2019</v>
      </c>
      <c r="G97" s="60">
        <f t="shared" si="29"/>
        <v>2020</v>
      </c>
      <c r="H97" s="60">
        <f t="shared" si="29"/>
        <v>2021</v>
      </c>
      <c r="I97" s="60">
        <f t="shared" si="29"/>
        <v>2022</v>
      </c>
    </row>
    <row r="98" spans="1:9" ht="9.75">
      <c r="A98" s="141" t="s">
        <v>155</v>
      </c>
      <c r="B98" s="102"/>
      <c r="C98" s="131"/>
      <c r="D98" s="132"/>
      <c r="E98" s="132"/>
      <c r="F98" s="132"/>
      <c r="G98" s="132"/>
      <c r="H98" s="132"/>
      <c r="I98" s="132"/>
    </row>
    <row r="99" spans="1:9" ht="9.75">
      <c r="A99" s="64" t="s">
        <v>195</v>
      </c>
      <c r="B99" s="130"/>
      <c r="C99" s="131">
        <f>+Pressupostos!B26</f>
        <v>0.11</v>
      </c>
      <c r="D99" s="132">
        <f aca="true" t="shared" si="30" ref="D99:I99">+$C$99*D88</f>
        <v>0</v>
      </c>
      <c r="E99" s="132">
        <f t="shared" si="30"/>
        <v>0</v>
      </c>
      <c r="F99" s="132">
        <f t="shared" si="30"/>
        <v>0</v>
      </c>
      <c r="G99" s="132">
        <f t="shared" si="30"/>
        <v>0</v>
      </c>
      <c r="H99" s="132">
        <f t="shared" si="30"/>
        <v>0</v>
      </c>
      <c r="I99" s="132">
        <f t="shared" si="30"/>
        <v>0</v>
      </c>
    </row>
    <row r="100" spans="1:9" ht="9.75">
      <c r="A100" s="64" t="s">
        <v>154</v>
      </c>
      <c r="B100" s="130"/>
      <c r="C100" s="131">
        <f>+Pressupostos!B27</f>
        <v>0.11</v>
      </c>
      <c r="D100" s="132">
        <f aca="true" t="shared" si="31" ref="D100:I100">+$C$100*D89</f>
        <v>3080</v>
      </c>
      <c r="E100" s="132">
        <f t="shared" si="31"/>
        <v>3080</v>
      </c>
      <c r="F100" s="132">
        <f t="shared" si="31"/>
        <v>3080</v>
      </c>
      <c r="G100" s="132">
        <f t="shared" si="31"/>
        <v>3080</v>
      </c>
      <c r="H100" s="132">
        <f t="shared" si="31"/>
        <v>3080</v>
      </c>
      <c r="I100" s="132">
        <f t="shared" si="31"/>
        <v>3080</v>
      </c>
    </row>
    <row r="101" spans="1:9" ht="9.75">
      <c r="A101" s="141" t="s">
        <v>156</v>
      </c>
      <c r="B101" s="102"/>
      <c r="C101" s="131">
        <f>+Pressupostos!B28</f>
        <v>0.15</v>
      </c>
      <c r="D101" s="132">
        <f aca="true" t="shared" si="32" ref="D101:I101">+$C$101*(D88+D89)</f>
        <v>4200</v>
      </c>
      <c r="E101" s="132">
        <f t="shared" si="32"/>
        <v>4200</v>
      </c>
      <c r="F101" s="132">
        <f t="shared" si="32"/>
        <v>4200</v>
      </c>
      <c r="G101" s="132">
        <f t="shared" si="32"/>
        <v>4200</v>
      </c>
      <c r="H101" s="132">
        <f t="shared" si="32"/>
        <v>4200</v>
      </c>
      <c r="I101" s="132">
        <f t="shared" si="32"/>
        <v>4200</v>
      </c>
    </row>
    <row r="102" spans="1:9" ht="10.5" thickBot="1">
      <c r="A102" s="524" t="s">
        <v>158</v>
      </c>
      <c r="B102" s="525"/>
      <c r="C102" s="526"/>
      <c r="D102" s="40">
        <f aca="true" t="shared" si="33" ref="D102:I102">SUM(D99:D101)</f>
        <v>7280</v>
      </c>
      <c r="E102" s="40">
        <f t="shared" si="33"/>
        <v>7280</v>
      </c>
      <c r="F102" s="40">
        <f t="shared" si="33"/>
        <v>7280</v>
      </c>
      <c r="G102" s="40">
        <f t="shared" si="33"/>
        <v>7280</v>
      </c>
      <c r="H102" s="40">
        <f t="shared" si="33"/>
        <v>7280</v>
      </c>
      <c r="I102" s="40">
        <f t="shared" si="33"/>
        <v>7280</v>
      </c>
    </row>
    <row r="103" spans="1:9" ht="10.5" thickTop="1">
      <c r="A103" s="81"/>
      <c r="B103" s="81"/>
      <c r="C103" s="145"/>
      <c r="D103" s="146"/>
      <c r="E103" s="146"/>
      <c r="F103" s="146"/>
      <c r="G103" s="146"/>
      <c r="H103" s="146"/>
      <c r="I103" s="146"/>
    </row>
    <row r="104" spans="1:9" ht="9.75">
      <c r="A104" s="81"/>
      <c r="B104" s="81"/>
      <c r="C104" s="145"/>
      <c r="D104" s="81"/>
      <c r="E104" s="81"/>
      <c r="F104" s="81"/>
      <c r="G104" s="81"/>
      <c r="H104" s="81"/>
      <c r="I104" s="81"/>
    </row>
    <row r="105" spans="1:9" ht="9.75">
      <c r="A105" s="147"/>
      <c r="B105" s="147"/>
      <c r="C105" s="145"/>
      <c r="D105" s="146"/>
      <c r="E105" s="146"/>
      <c r="F105" s="146"/>
      <c r="G105" s="146"/>
      <c r="H105" s="146"/>
      <c r="I105" s="146"/>
    </row>
  </sheetData>
  <sheetProtection password="8318" sheet="1"/>
  <mergeCells count="14">
    <mergeCell ref="A4:I4"/>
    <mergeCell ref="A102:C102"/>
    <mergeCell ref="A97:C97"/>
    <mergeCell ref="A94:C94"/>
    <mergeCell ref="A86:C86"/>
    <mergeCell ref="A81:C81"/>
    <mergeCell ref="A83:C83"/>
    <mergeCell ref="A11:C11"/>
    <mergeCell ref="A23:C23"/>
    <mergeCell ref="A40:C40"/>
    <mergeCell ref="A69:C69"/>
    <mergeCell ref="A54:C54"/>
    <mergeCell ref="A66:C66"/>
    <mergeCell ref="A26:C26"/>
  </mergeCells>
  <printOptions horizontalCentered="1"/>
  <pageMargins left="0.75" right="0.75" top="0.3937007874015748" bottom="0.3937007874015748" header="0.5118110236220472" footer="0.3937007874015748"/>
  <pageSetup horizontalDpi="600" verticalDpi="600" orientation="portrait" paperSize="9" scale="90"/>
  <headerFooter alignWithMargins="0">
    <oddFooter>&amp;C&amp;"Arial,Normal"&amp;8IAPMEI&amp;R&amp;"Arial,Normal"&amp;8&amp;P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37"/>
  <sheetViews>
    <sheetView showGridLines="0" showZeros="0" zoomScale="150" zoomScaleNormal="150" workbookViewId="0" topLeftCell="A1">
      <selection activeCell="B36" sqref="B36"/>
    </sheetView>
  </sheetViews>
  <sheetFormatPr defaultColWidth="8.7109375" defaultRowHeight="12.75"/>
  <cols>
    <col min="1" max="1" width="30.8515625" style="73" customWidth="1"/>
    <col min="2" max="2" width="7.421875" style="73" customWidth="1"/>
    <col min="3" max="13" width="11.421875" style="73" customWidth="1"/>
    <col min="14" max="16384" width="8.7109375" style="73" customWidth="1"/>
  </cols>
  <sheetData>
    <row r="1" spans="1:8" ht="12.75">
      <c r="A1" s="63"/>
      <c r="B1" s="63"/>
      <c r="C1" s="149"/>
      <c r="D1" s="149"/>
      <c r="E1" s="149"/>
      <c r="F1" s="149"/>
      <c r="G1" s="150" t="s">
        <v>63</v>
      </c>
      <c r="H1" s="151" t="str">
        <f>+Pressupostos!E1</f>
        <v>XPTO, Lda</v>
      </c>
    </row>
    <row r="2" spans="1:8" ht="12.75">
      <c r="A2" s="63"/>
      <c r="B2" s="63"/>
      <c r="C2" s="63"/>
      <c r="D2" s="63"/>
      <c r="E2" s="63"/>
      <c r="F2" s="63"/>
      <c r="G2" s="63"/>
      <c r="H2" s="58" t="str">
        <f>+Pressupostos!B9</f>
        <v>Euros</v>
      </c>
    </row>
    <row r="3" spans="1:8" ht="12.75">
      <c r="A3" s="63"/>
      <c r="B3" s="63"/>
      <c r="C3" s="63"/>
      <c r="D3" s="63"/>
      <c r="E3" s="63"/>
      <c r="F3" s="63"/>
      <c r="G3" s="63"/>
      <c r="H3" s="58"/>
    </row>
    <row r="4" spans="1:8" ht="13.5" customHeight="1">
      <c r="A4" s="511" t="s">
        <v>173</v>
      </c>
      <c r="B4" s="511"/>
      <c r="C4" s="511"/>
      <c r="D4" s="511"/>
      <c r="E4" s="511"/>
      <c r="F4" s="511"/>
      <c r="G4" s="511"/>
      <c r="H4" s="511"/>
    </row>
    <row r="5" spans="1:8" ht="12.75" customHeight="1">
      <c r="A5" s="63"/>
      <c r="B5" s="152"/>
      <c r="C5" s="152"/>
      <c r="D5" s="63"/>
      <c r="E5" s="63"/>
      <c r="F5" s="63"/>
      <c r="G5" s="63"/>
      <c r="H5" s="63"/>
    </row>
    <row r="6" spans="1:8" ht="9.75">
      <c r="A6" s="63"/>
      <c r="B6" s="140"/>
      <c r="C6" s="152"/>
      <c r="D6" s="63"/>
      <c r="E6" s="63"/>
      <c r="F6" s="63"/>
      <c r="G6" s="63"/>
      <c r="H6" s="63"/>
    </row>
    <row r="7" spans="1:8" ht="9.75">
      <c r="A7" s="141"/>
      <c r="B7" s="134"/>
      <c r="C7" s="60">
        <f>+VN!C8</f>
        <v>2017</v>
      </c>
      <c r="D7" s="60">
        <f>+VN!D8</f>
        <v>2018</v>
      </c>
      <c r="E7" s="60">
        <f>+VN!E8</f>
        <v>2019</v>
      </c>
      <c r="F7" s="60">
        <f>+VN!F8</f>
        <v>2020</v>
      </c>
      <c r="G7" s="60">
        <f>+VN!G8</f>
        <v>2021</v>
      </c>
      <c r="H7" s="60">
        <f>+VN!H8</f>
        <v>2022</v>
      </c>
    </row>
    <row r="8" spans="1:8" ht="9.75">
      <c r="A8" s="153" t="s">
        <v>82</v>
      </c>
      <c r="B8" s="154"/>
      <c r="C8" s="155"/>
      <c r="D8" s="105"/>
      <c r="E8" s="105"/>
      <c r="F8" s="105"/>
      <c r="G8" s="105"/>
      <c r="H8" s="105"/>
    </row>
    <row r="9" spans="1:8" ht="9.75">
      <c r="A9" s="64" t="s">
        <v>85</v>
      </c>
      <c r="B9" s="154"/>
      <c r="C9" s="7"/>
      <c r="D9" s="117">
        <f>+C9</f>
        <v>0</v>
      </c>
      <c r="E9" s="117">
        <f>+D9</f>
        <v>0</v>
      </c>
      <c r="F9" s="117">
        <f>+E9</f>
        <v>0</v>
      </c>
      <c r="G9" s="117">
        <f>+F9</f>
        <v>0</v>
      </c>
      <c r="H9" s="117">
        <f>+G9</f>
        <v>0</v>
      </c>
    </row>
    <row r="10" spans="1:8" ht="9.75">
      <c r="A10" s="64" t="s">
        <v>49</v>
      </c>
      <c r="B10" s="154"/>
      <c r="C10" s="117">
        <f>VN!C84*Pressupostos!$C$13/12</f>
        <v>24380</v>
      </c>
      <c r="D10" s="117">
        <f>VN!D84*Pressupostos!$C$13/12</f>
        <v>24687.399999999998</v>
      </c>
      <c r="E10" s="117">
        <f>VN!E84*Pressupostos!$C$13/12</f>
        <v>24999.146000000004</v>
      </c>
      <c r="F10" s="117">
        <f>VN!F84*Pressupostos!$C$13/12</f>
        <v>25315.3069</v>
      </c>
      <c r="G10" s="117">
        <f>VN!G84*Pressupostos!$C$13/12</f>
        <v>25635.952797800008</v>
      </c>
      <c r="H10" s="117">
        <f>VN!H84*Pressupostos!$C$13/12</f>
        <v>25961.155011154002</v>
      </c>
    </row>
    <row r="11" spans="1:8" ht="9.75">
      <c r="A11" s="64" t="s">
        <v>314</v>
      </c>
      <c r="B11" s="154"/>
      <c r="C11" s="117">
        <f>CMVMC!C16*Pressupostos!$C$15/12</f>
        <v>3150</v>
      </c>
      <c r="D11" s="117">
        <f>CMVMC!D16*Pressupostos!$C$15/12</f>
        <v>3187.5</v>
      </c>
      <c r="E11" s="117">
        <f>CMVMC!E16*Pressupostos!$C$15/12</f>
        <v>3225.495000000001</v>
      </c>
      <c r="F11" s="117">
        <f>CMVMC!F16*Pressupostos!$C$15/12</f>
        <v>3263.9923500000004</v>
      </c>
      <c r="G11" s="117">
        <f>CMVMC!G16*Pressupostos!$C$15/12</f>
        <v>3302.9995215000004</v>
      </c>
      <c r="H11" s="117">
        <f>CMVMC!H16*Pressupostos!$C$15/12</f>
        <v>3342.524109675001</v>
      </c>
    </row>
    <row r="12" spans="1:8" ht="9.75">
      <c r="A12" s="64" t="s">
        <v>50</v>
      </c>
      <c r="B12" s="154"/>
      <c r="C12" s="117">
        <f aca="true" t="shared" si="0" ref="C12:H12">IF(C30&lt;0,-C30,0)+IF(C31&lt;0,-C31,0)+IF(C32&lt;0,-C32,0)</f>
        <v>0</v>
      </c>
      <c r="D12" s="117">
        <f t="shared" si="0"/>
        <v>0</v>
      </c>
      <c r="E12" s="117">
        <f t="shared" si="0"/>
        <v>0</v>
      </c>
      <c r="F12" s="117">
        <f t="shared" si="0"/>
        <v>0</v>
      </c>
      <c r="G12" s="117">
        <f t="shared" si="0"/>
        <v>0</v>
      </c>
      <c r="H12" s="117">
        <f t="shared" si="0"/>
        <v>0</v>
      </c>
    </row>
    <row r="13" spans="1:8" ht="9.75">
      <c r="A13" s="535" t="s">
        <v>159</v>
      </c>
      <c r="B13" s="536"/>
      <c r="C13" s="44"/>
      <c r="D13" s="44"/>
      <c r="E13" s="44"/>
      <c r="F13" s="44"/>
      <c r="G13" s="44"/>
      <c r="H13" s="44"/>
    </row>
    <row r="14" spans="1:8" ht="9.75">
      <c r="A14" s="535" t="s">
        <v>159</v>
      </c>
      <c r="B14" s="536"/>
      <c r="C14" s="44"/>
      <c r="D14" s="44"/>
      <c r="E14" s="44"/>
      <c r="F14" s="44"/>
      <c r="G14" s="44"/>
      <c r="H14" s="44"/>
    </row>
    <row r="15" spans="1:8" ht="9.75">
      <c r="A15" s="533" t="s">
        <v>46</v>
      </c>
      <c r="B15" s="534"/>
      <c r="C15" s="156">
        <f aca="true" t="shared" si="1" ref="C15:H15">SUM(C9:C14)</f>
        <v>27530</v>
      </c>
      <c r="D15" s="156">
        <f t="shared" si="1"/>
        <v>27874.899999999998</v>
      </c>
      <c r="E15" s="156">
        <f t="shared" si="1"/>
        <v>28224.641000000003</v>
      </c>
      <c r="F15" s="156">
        <f t="shared" si="1"/>
        <v>28579.29925</v>
      </c>
      <c r="G15" s="156">
        <f t="shared" si="1"/>
        <v>28938.95231930001</v>
      </c>
      <c r="H15" s="156">
        <f t="shared" si="1"/>
        <v>29303.679120829</v>
      </c>
    </row>
    <row r="16" spans="1:8" ht="9.75">
      <c r="A16" s="157" t="s">
        <v>83</v>
      </c>
      <c r="B16" s="154"/>
      <c r="C16" s="158"/>
      <c r="D16" s="159"/>
      <c r="E16" s="159"/>
      <c r="F16" s="159"/>
      <c r="G16" s="159"/>
      <c r="H16" s="159"/>
    </row>
    <row r="17" spans="1:8" ht="9.75">
      <c r="A17" s="64" t="s">
        <v>16</v>
      </c>
      <c r="B17" s="154"/>
      <c r="C17" s="117">
        <f>(CMVMC!C20+FSE!F53)*Pressupostos!$C$14/12</f>
        <v>9435.5</v>
      </c>
      <c r="D17" s="117">
        <f>(CMVMC!D20+FSE!G53)*Pressupostos!$C$14/12</f>
        <v>9515</v>
      </c>
      <c r="E17" s="117">
        <f>(CMVMC!E20+FSE!H53)*Pressupostos!$C$14/12</f>
        <v>9595.549400000002</v>
      </c>
      <c r="F17" s="117">
        <f>(CMVMC!F20+FSE!I53)*Pressupostos!$C$14/12</f>
        <v>9677.163782000001</v>
      </c>
      <c r="G17" s="117">
        <f>(CMVMC!G20+FSE!J53)*Pressupostos!$C$14/12</f>
        <v>9759.85898558</v>
      </c>
      <c r="H17" s="117">
        <f>(CMVMC!H20+FSE!K53)*Pressupostos!$C$14/12</f>
        <v>9843.651112511003</v>
      </c>
    </row>
    <row r="18" spans="1:8" ht="9.75">
      <c r="A18" s="64" t="s">
        <v>50</v>
      </c>
      <c r="B18" s="154"/>
      <c r="C18" s="117">
        <f aca="true" t="shared" si="2" ref="C18:H18">IF(C30&gt;0,C30,0)+IF(C31&gt;0,C31,0)+IF(C32&gt;0,C32,0)</f>
        <v>2928.5</v>
      </c>
      <c r="D18" s="117">
        <f t="shared" si="2"/>
        <v>2967.2</v>
      </c>
      <c r="E18" s="117">
        <f t="shared" si="2"/>
        <v>3006.4597999999996</v>
      </c>
      <c r="F18" s="117">
        <f t="shared" si="2"/>
        <v>3046.2884540000005</v>
      </c>
      <c r="G18" s="117">
        <f t="shared" si="2"/>
        <v>3086.695175660001</v>
      </c>
      <c r="H18" s="117">
        <f t="shared" si="2"/>
        <v>3127.6893412790005</v>
      </c>
    </row>
    <row r="19" spans="1:8" ht="9.75">
      <c r="A19" s="535" t="s">
        <v>159</v>
      </c>
      <c r="B19" s="536"/>
      <c r="C19" s="45"/>
      <c r="D19" s="45"/>
      <c r="E19" s="45"/>
      <c r="F19" s="45"/>
      <c r="G19" s="45"/>
      <c r="H19" s="45"/>
    </row>
    <row r="20" spans="1:8" ht="10.5" thickBot="1">
      <c r="A20" s="520" t="s">
        <v>46</v>
      </c>
      <c r="B20" s="521"/>
      <c r="C20" s="160">
        <f aca="true" t="shared" si="3" ref="C20:H20">+SUM(C17:C19)</f>
        <v>12364</v>
      </c>
      <c r="D20" s="160">
        <f t="shared" si="3"/>
        <v>12482.2</v>
      </c>
      <c r="E20" s="160">
        <f t="shared" si="3"/>
        <v>12602.0092</v>
      </c>
      <c r="F20" s="160">
        <f t="shared" si="3"/>
        <v>12723.452236000001</v>
      </c>
      <c r="G20" s="160">
        <f t="shared" si="3"/>
        <v>12846.554161240001</v>
      </c>
      <c r="H20" s="160">
        <f t="shared" si="3"/>
        <v>12971.340453790002</v>
      </c>
    </row>
    <row r="21" spans="1:8" ht="10.5" thickTop="1">
      <c r="A21" s="161"/>
      <c r="B21" s="121"/>
      <c r="C21" s="162"/>
      <c r="D21" s="163"/>
      <c r="E21" s="163"/>
      <c r="F21" s="163"/>
      <c r="G21" s="163"/>
      <c r="H21" s="163"/>
    </row>
    <row r="22" spans="1:8" ht="10.5" thickBot="1">
      <c r="A22" s="164" t="s">
        <v>196</v>
      </c>
      <c r="B22" s="165"/>
      <c r="C22" s="160">
        <f aca="true" t="shared" si="4" ref="C22:H22">+C15-C20</f>
        <v>15166</v>
      </c>
      <c r="D22" s="160">
        <f t="shared" si="4"/>
        <v>15392.699999999997</v>
      </c>
      <c r="E22" s="160">
        <f t="shared" si="4"/>
        <v>15622.631800000003</v>
      </c>
      <c r="F22" s="160">
        <f t="shared" si="4"/>
        <v>15855.847013999999</v>
      </c>
      <c r="G22" s="160">
        <f t="shared" si="4"/>
        <v>16092.398158060008</v>
      </c>
      <c r="H22" s="160">
        <f t="shared" si="4"/>
        <v>16332.338667039</v>
      </c>
    </row>
    <row r="23" spans="1:8" ht="10.5" thickTop="1">
      <c r="A23" s="166"/>
      <c r="B23" s="167"/>
      <c r="C23" s="162"/>
      <c r="D23" s="163"/>
      <c r="E23" s="163"/>
      <c r="F23" s="163"/>
      <c r="G23" s="163"/>
      <c r="H23" s="163"/>
    </row>
    <row r="24" spans="1:8" ht="10.5" thickBot="1">
      <c r="A24" s="164" t="s">
        <v>84</v>
      </c>
      <c r="B24" s="165"/>
      <c r="C24" s="160">
        <f>+C22</f>
        <v>15166</v>
      </c>
      <c r="D24" s="160">
        <f>+D22-C22</f>
        <v>226.6999999999971</v>
      </c>
      <c r="E24" s="160">
        <f>+E22-D22</f>
        <v>229.93180000000575</v>
      </c>
      <c r="F24" s="160">
        <f>+F22-E22</f>
        <v>233.2152139999962</v>
      </c>
      <c r="G24" s="160">
        <f>+G22-F22</f>
        <v>236.5511440600094</v>
      </c>
      <c r="H24" s="160">
        <f>+H22-G22</f>
        <v>239.9405089789907</v>
      </c>
    </row>
    <row r="25" spans="1:8" ht="10.5" thickTop="1">
      <c r="A25" s="161"/>
      <c r="B25" s="121"/>
      <c r="C25" s="126"/>
      <c r="D25" s="63"/>
      <c r="E25" s="63"/>
      <c r="F25" s="63"/>
      <c r="G25" s="63"/>
      <c r="H25" s="63"/>
    </row>
    <row r="26" spans="1:8" ht="9.75">
      <c r="A26" s="168" t="s">
        <v>197</v>
      </c>
      <c r="B26" s="121"/>
      <c r="C26" s="126"/>
      <c r="D26" s="63"/>
      <c r="E26" s="63"/>
      <c r="F26" s="63"/>
      <c r="G26" s="63"/>
      <c r="H26" s="63"/>
    </row>
    <row r="27" spans="1:8" ht="9.75">
      <c r="A27" s="63"/>
      <c r="B27" s="63"/>
      <c r="C27" s="152"/>
      <c r="D27" s="152"/>
      <c r="E27" s="169"/>
      <c r="F27" s="152"/>
      <c r="G27" s="152"/>
      <c r="H27" s="152"/>
    </row>
    <row r="28" spans="3:8" ht="9.75">
      <c r="C28" s="170"/>
      <c r="D28" s="170"/>
      <c r="E28" s="171"/>
      <c r="F28" s="170"/>
      <c r="G28" s="170"/>
      <c r="H28" s="170"/>
    </row>
    <row r="29" spans="1:8" ht="9.75">
      <c r="A29" s="312" t="s">
        <v>251</v>
      </c>
      <c r="B29" s="314"/>
      <c r="C29" s="315">
        <f aca="true" t="shared" si="5" ref="C29:H29">+SUM(C30:C32)</f>
        <v>2928.5</v>
      </c>
      <c r="D29" s="315">
        <f t="shared" si="5"/>
        <v>2967.2</v>
      </c>
      <c r="E29" s="315">
        <f t="shared" si="5"/>
        <v>3006.4597999999996</v>
      </c>
      <c r="F29" s="315">
        <f t="shared" si="5"/>
        <v>3046.2884540000005</v>
      </c>
      <c r="G29" s="315">
        <f t="shared" si="5"/>
        <v>3086.695175660001</v>
      </c>
      <c r="H29" s="315">
        <f t="shared" si="5"/>
        <v>3127.6893412790005</v>
      </c>
    </row>
    <row r="30" spans="1:8" ht="9.75">
      <c r="A30" s="313" t="s">
        <v>252</v>
      </c>
      <c r="B30" s="314"/>
      <c r="C30" s="478">
        <f>IF('Gastos com Pessoal'!D$7=0,0,('Gastos com Pessoal'!D99+'Gastos com Pessoal'!D100+'Gastos com Pessoal'!D71+'Gastos com Pessoal'!D72)/'Gastos com Pessoal'!D$7)</f>
        <v>695</v>
      </c>
      <c r="D30" s="316">
        <f>IF('Gastos com Pessoal'!E$7=0,0,('Gastos com Pessoal'!E99+'Gastos com Pessoal'!E100+'Gastos com Pessoal'!E71+'Gastos com Pessoal'!E72)/'Gastos com Pessoal'!E$7)</f>
        <v>695</v>
      </c>
      <c r="E30" s="478">
        <f>('Gastos com Pessoal'!F99+'Gastos com Pessoal'!F100+'Gastos com Pessoal'!F71+'Gastos com Pessoal'!F72)/'Gastos com Pessoal'!F$7</f>
        <v>695</v>
      </c>
      <c r="F30" s="316">
        <f>('Gastos com Pessoal'!G99+'Gastos com Pessoal'!G100+'Gastos com Pessoal'!G71+'Gastos com Pessoal'!G72)/'Gastos com Pessoal'!G$7</f>
        <v>695</v>
      </c>
      <c r="G30" s="316">
        <f>('Gastos com Pessoal'!H99+'Gastos com Pessoal'!H100+'Gastos com Pessoal'!H71+'Gastos com Pessoal'!H72)/'Gastos com Pessoal'!H$7</f>
        <v>695</v>
      </c>
      <c r="H30" s="316">
        <f>('Gastos com Pessoal'!I99+'Gastos com Pessoal'!I100+'Gastos com Pessoal'!I71+'Gastos com Pessoal'!I72)/'Gastos com Pessoal'!I$7</f>
        <v>695</v>
      </c>
    </row>
    <row r="31" spans="1:8" ht="9.75">
      <c r="A31" s="313" t="s">
        <v>253</v>
      </c>
      <c r="B31" s="314"/>
      <c r="C31" s="316">
        <f>IF('Gastos com Pessoal'!D7=0,0,'Gastos com Pessoal'!D101/'Gastos com Pessoal'!D7)</f>
        <v>300</v>
      </c>
      <c r="D31" s="316">
        <f>IF('Gastos com Pessoal'!E7=0,0,'Gastos com Pessoal'!E101/'Gastos com Pessoal'!E7)</f>
        <v>300</v>
      </c>
      <c r="E31" s="316">
        <f>'Gastos com Pessoal'!F101/'Gastos com Pessoal'!F7</f>
        <v>300</v>
      </c>
      <c r="F31" s="316">
        <f>'Gastos com Pessoal'!G101/'Gastos com Pessoal'!G7</f>
        <v>300</v>
      </c>
      <c r="G31" s="316">
        <f>'Gastos com Pessoal'!H101/'Gastos com Pessoal'!H7</f>
        <v>300</v>
      </c>
      <c r="H31" s="316">
        <f>'Gastos com Pessoal'!I101/'Gastos com Pessoal'!I7</f>
        <v>300</v>
      </c>
    </row>
    <row r="32" spans="1:8" ht="9.75">
      <c r="A32" s="313" t="s">
        <v>62</v>
      </c>
      <c r="B32" s="314"/>
      <c r="C32" s="316">
        <f>(VN!C82-CMVMC!C18-FSE!F51-Investimento!C31)/Pressupostos!$C$16</f>
        <v>1933.5</v>
      </c>
      <c r="D32" s="316">
        <f>(VN!D82-CMVMC!D18-FSE!G51-Investimento!D31)/Pressupostos!$C$16</f>
        <v>1972.1999999999998</v>
      </c>
      <c r="E32" s="316">
        <f>(VN!E82-CMVMC!E18-FSE!H51-Investimento!E31)/Pressupostos!$C$16</f>
        <v>2011.4597999999996</v>
      </c>
      <c r="F32" s="316">
        <f>(VN!F82-CMVMC!F18-FSE!I51-Investimento!F31)/Pressupostos!$C$16</f>
        <v>2051.2884540000005</v>
      </c>
      <c r="G32" s="316">
        <f>(VN!G82-CMVMC!G18-FSE!J51-Investimento!G31)/Pressupostos!$C$16</f>
        <v>2091.695175660001</v>
      </c>
      <c r="H32" s="316">
        <f>(VN!H82-CMVMC!H18-FSE!K51-Investimento!H31)/Pressupostos!$C$16</f>
        <v>2132.6893412790005</v>
      </c>
    </row>
    <row r="33" ht="9.75">
      <c r="E33" s="171"/>
    </row>
    <row r="34" ht="9.75">
      <c r="E34" s="171"/>
    </row>
    <row r="35" ht="9.75">
      <c r="E35" s="171"/>
    </row>
    <row r="36" ht="9.75">
      <c r="E36" s="171"/>
    </row>
    <row r="37" ht="9.75">
      <c r="E37" s="171"/>
    </row>
  </sheetData>
  <sheetProtection password="8318" sheet="1"/>
  <mergeCells count="6">
    <mergeCell ref="A4:H4"/>
    <mergeCell ref="A15:B15"/>
    <mergeCell ref="A20:B20"/>
    <mergeCell ref="A19:B19"/>
    <mergeCell ref="A13:B13"/>
    <mergeCell ref="A14:B1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3"/>
  <headerFooter alignWithMargins="0">
    <oddFooter>&amp;C&amp;"Arial,Normal"&amp;8IAPMEI&amp;R&amp;"Arial,Normal"&amp;8&amp;P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lha3"/>
  <dimension ref="A1:H182"/>
  <sheetViews>
    <sheetView showGridLines="0" showZeros="0" zoomScale="150" zoomScaleNormal="150" workbookViewId="0" topLeftCell="A3">
      <selection activeCell="C17" sqref="C17"/>
    </sheetView>
  </sheetViews>
  <sheetFormatPr defaultColWidth="8.7109375" defaultRowHeight="12.75"/>
  <cols>
    <col min="1" max="1" width="35.7109375" style="173" customWidth="1"/>
    <col min="2" max="2" width="8.7109375" style="173" customWidth="1"/>
    <col min="3" max="8" width="9.7109375" style="173" customWidth="1"/>
    <col min="9" max="9" width="3.421875" style="173" customWidth="1"/>
    <col min="10" max="10" width="2.7109375" style="173" customWidth="1"/>
    <col min="11" max="16384" width="8.7109375" style="173" customWidth="1"/>
  </cols>
  <sheetData>
    <row r="1" spans="1:8" s="73" customFormat="1" ht="12">
      <c r="A1" s="63"/>
      <c r="B1" s="63"/>
      <c r="C1" s="53"/>
      <c r="D1" s="53"/>
      <c r="E1" s="53"/>
      <c r="F1" s="53"/>
      <c r="G1" s="97" t="s">
        <v>63</v>
      </c>
      <c r="H1" s="98" t="str">
        <f>+Pressupostos!E1</f>
        <v>XPTO, Lda</v>
      </c>
    </row>
    <row r="2" spans="1:8" s="73" customFormat="1" ht="12.75">
      <c r="A2" s="57"/>
      <c r="B2" s="53"/>
      <c r="C2" s="53"/>
      <c r="D2" s="53"/>
      <c r="E2" s="53"/>
      <c r="F2" s="53"/>
      <c r="G2" s="63"/>
      <c r="H2" s="58" t="str">
        <f>+Pressupostos!B9</f>
        <v>Euros</v>
      </c>
    </row>
    <row r="3" spans="1:8" s="73" customFormat="1" ht="12.75">
      <c r="A3" s="57"/>
      <c r="B3" s="53"/>
      <c r="C3" s="53"/>
      <c r="D3" s="53"/>
      <c r="E3" s="53"/>
      <c r="F3" s="53"/>
      <c r="G3" s="63"/>
      <c r="H3" s="58"/>
    </row>
    <row r="4" spans="1:8" s="73" customFormat="1" ht="15.75">
      <c r="A4" s="511" t="s">
        <v>55</v>
      </c>
      <c r="B4" s="511"/>
      <c r="C4" s="511"/>
      <c r="D4" s="511"/>
      <c r="E4" s="511"/>
      <c r="F4" s="511"/>
      <c r="G4" s="511"/>
      <c r="H4" s="511"/>
    </row>
    <row r="5" spans="1:8" ht="12.75">
      <c r="A5" s="172"/>
      <c r="B5" s="172"/>
      <c r="C5" s="172"/>
      <c r="D5" s="172"/>
      <c r="E5" s="172"/>
      <c r="F5" s="172"/>
      <c r="G5" s="172"/>
      <c r="H5" s="172"/>
    </row>
    <row r="6" spans="1:8" ht="9.75">
      <c r="A6" s="174"/>
      <c r="B6" s="174"/>
      <c r="C6" s="175"/>
      <c r="D6" s="175"/>
      <c r="E6" s="175"/>
      <c r="F6" s="175"/>
      <c r="G6" s="175"/>
      <c r="H6" s="175"/>
    </row>
    <row r="7" spans="1:8" ht="9.75">
      <c r="A7" s="542" t="s">
        <v>229</v>
      </c>
      <c r="B7" s="542"/>
      <c r="C7" s="176">
        <f>+VN!C8</f>
        <v>2017</v>
      </c>
      <c r="D7" s="176">
        <f>+VN!D8</f>
        <v>2018</v>
      </c>
      <c r="E7" s="176">
        <f>+VN!E8</f>
        <v>2019</v>
      </c>
      <c r="F7" s="176">
        <f>+VN!F8</f>
        <v>2020</v>
      </c>
      <c r="G7" s="176">
        <f>+VN!G8</f>
        <v>2021</v>
      </c>
      <c r="H7" s="176">
        <f>+VN!H8</f>
        <v>2022</v>
      </c>
    </row>
    <row r="8" spans="1:8" ht="9.75">
      <c r="A8" s="177" t="s">
        <v>257</v>
      </c>
      <c r="B8" s="191"/>
      <c r="C8" s="176"/>
      <c r="D8" s="176"/>
      <c r="E8" s="176"/>
      <c r="F8" s="176"/>
      <c r="G8" s="176"/>
      <c r="H8" s="176"/>
    </row>
    <row r="9" spans="1:8" ht="9.75">
      <c r="A9" s="320" t="s">
        <v>258</v>
      </c>
      <c r="B9" s="191"/>
      <c r="C9" s="48"/>
      <c r="D9" s="48"/>
      <c r="E9" s="48"/>
      <c r="F9" s="48"/>
      <c r="G9" s="48"/>
      <c r="H9" s="48"/>
    </row>
    <row r="10" spans="1:8" ht="9.75">
      <c r="A10" s="320" t="s">
        <v>259</v>
      </c>
      <c r="B10" s="191"/>
      <c r="C10" s="48"/>
      <c r="D10" s="48"/>
      <c r="E10" s="48"/>
      <c r="F10" s="48"/>
      <c r="G10" s="48"/>
      <c r="H10" s="48"/>
    </row>
    <row r="11" spans="1:8" ht="9.75">
      <c r="A11" s="320" t="s">
        <v>260</v>
      </c>
      <c r="B11" s="191"/>
      <c r="C11" s="48"/>
      <c r="D11" s="48"/>
      <c r="E11" s="48"/>
      <c r="F11" s="48"/>
      <c r="G11" s="48"/>
      <c r="H11" s="48"/>
    </row>
    <row r="12" spans="1:8" ht="9.75">
      <c r="A12" s="539" t="s">
        <v>261</v>
      </c>
      <c r="B12" s="540"/>
      <c r="C12" s="326">
        <f aca="true" t="shared" si="0" ref="C12:H12">+SUM(C9:C11)</f>
        <v>0</v>
      </c>
      <c r="D12" s="326">
        <f>+SUM(D9:D11)</f>
        <v>0</v>
      </c>
      <c r="E12" s="326">
        <f t="shared" si="0"/>
        <v>0</v>
      </c>
      <c r="F12" s="326">
        <f t="shared" si="0"/>
        <v>0</v>
      </c>
      <c r="G12" s="326">
        <f t="shared" si="0"/>
        <v>0</v>
      </c>
      <c r="H12" s="326">
        <f t="shared" si="0"/>
        <v>0</v>
      </c>
    </row>
    <row r="13" spans="1:8" ht="9.75">
      <c r="A13" s="177" t="s">
        <v>262</v>
      </c>
      <c r="B13" s="178"/>
      <c r="C13" s="180"/>
      <c r="D13" s="180"/>
      <c r="E13" s="180"/>
      <c r="F13" s="180"/>
      <c r="G13" s="180"/>
      <c r="H13" s="180"/>
    </row>
    <row r="14" spans="1:8" ht="9.75">
      <c r="A14" s="320" t="s">
        <v>397</v>
      </c>
      <c r="B14" s="178"/>
      <c r="C14" s="48"/>
      <c r="D14" s="48"/>
      <c r="E14" s="48"/>
      <c r="F14" s="48"/>
      <c r="G14" s="48"/>
      <c r="H14" s="48"/>
    </row>
    <row r="15" spans="1:8" ht="9.75">
      <c r="A15" s="320" t="s">
        <v>351</v>
      </c>
      <c r="B15" s="178"/>
      <c r="C15" s="48"/>
      <c r="D15" s="48"/>
      <c r="E15" s="48"/>
      <c r="F15" s="48"/>
      <c r="G15" s="48"/>
      <c r="H15" s="48"/>
    </row>
    <row r="16" spans="1:8" ht="9.75">
      <c r="A16" s="320" t="s">
        <v>354</v>
      </c>
      <c r="B16" s="178"/>
      <c r="C16" s="48"/>
      <c r="D16" s="48"/>
      <c r="E16" s="48"/>
      <c r="F16" s="48"/>
      <c r="G16" s="48"/>
      <c r="H16" s="48"/>
    </row>
    <row r="17" spans="1:8" ht="9.75">
      <c r="A17" s="320" t="s">
        <v>355</v>
      </c>
      <c r="B17" s="178"/>
      <c r="C17" s="48">
        <v>80000</v>
      </c>
      <c r="D17" s="48"/>
      <c r="E17" s="48"/>
      <c r="F17" s="48"/>
      <c r="G17" s="48"/>
      <c r="H17" s="48"/>
    </row>
    <row r="18" spans="1:8" ht="9.75">
      <c r="A18" s="320" t="s">
        <v>356</v>
      </c>
      <c r="B18" s="178"/>
      <c r="C18" s="48"/>
      <c r="D18" s="48"/>
      <c r="E18" s="48"/>
      <c r="F18" s="48"/>
      <c r="G18" s="48"/>
      <c r="H18" s="48"/>
    </row>
    <row r="19" spans="1:8" ht="9.75">
      <c r="A19" s="320" t="s">
        <v>263</v>
      </c>
      <c r="B19" s="178"/>
      <c r="C19" s="48"/>
      <c r="D19" s="48"/>
      <c r="E19" s="48"/>
      <c r="F19" s="48"/>
      <c r="G19" s="48"/>
      <c r="H19" s="48"/>
    </row>
    <row r="20" spans="1:8" ht="9.75">
      <c r="A20" s="320" t="s">
        <v>357</v>
      </c>
      <c r="B20" s="178"/>
      <c r="C20" s="48"/>
      <c r="D20" s="48"/>
      <c r="E20" s="48"/>
      <c r="F20" s="48"/>
      <c r="G20" s="48"/>
      <c r="H20" s="48"/>
    </row>
    <row r="21" spans="1:8" ht="9.75">
      <c r="A21" s="537" t="s">
        <v>319</v>
      </c>
      <c r="B21" s="538"/>
      <c r="C21" s="181">
        <f aca="true" t="shared" si="1" ref="C21:H21">+SUM(C14:C20)</f>
        <v>80000</v>
      </c>
      <c r="D21" s="181">
        <f>+SUM(D14:D20)</f>
        <v>0</v>
      </c>
      <c r="E21" s="181">
        <f t="shared" si="1"/>
        <v>0</v>
      </c>
      <c r="F21" s="181">
        <f t="shared" si="1"/>
        <v>0</v>
      </c>
      <c r="G21" s="181">
        <f t="shared" si="1"/>
        <v>0</v>
      </c>
      <c r="H21" s="181">
        <f t="shared" si="1"/>
        <v>0</v>
      </c>
    </row>
    <row r="22" spans="1:8" ht="9.75">
      <c r="A22" s="177" t="s">
        <v>311</v>
      </c>
      <c r="B22" s="178"/>
      <c r="C22" s="189"/>
      <c r="D22" s="189"/>
      <c r="E22" s="189"/>
      <c r="F22" s="189"/>
      <c r="G22" s="189"/>
      <c r="H22" s="189"/>
    </row>
    <row r="23" spans="1:8" ht="9.75">
      <c r="A23" s="320" t="s">
        <v>320</v>
      </c>
      <c r="B23" s="178"/>
      <c r="C23" s="48"/>
      <c r="D23" s="48"/>
      <c r="E23" s="48"/>
      <c r="F23" s="48"/>
      <c r="G23" s="48"/>
      <c r="H23" s="48"/>
    </row>
    <row r="24" spans="1:8" ht="9.75">
      <c r="A24" s="320" t="s">
        <v>321</v>
      </c>
      <c r="B24" s="178"/>
      <c r="C24" s="48"/>
      <c r="D24" s="48"/>
      <c r="E24" s="48"/>
      <c r="F24" s="48"/>
      <c r="G24" s="48"/>
      <c r="H24" s="48"/>
    </row>
    <row r="25" spans="1:8" ht="9.75">
      <c r="A25" s="320" t="s">
        <v>322</v>
      </c>
      <c r="B25" s="178"/>
      <c r="C25" s="48"/>
      <c r="D25" s="48"/>
      <c r="E25" s="48"/>
      <c r="F25" s="48"/>
      <c r="G25" s="48"/>
      <c r="H25" s="48"/>
    </row>
    <row r="26" spans="1:8" ht="9.75">
      <c r="A26" s="320" t="s">
        <v>323</v>
      </c>
      <c r="B26" s="178"/>
      <c r="C26" s="48"/>
      <c r="D26" s="48"/>
      <c r="E26" s="48"/>
      <c r="F26" s="48"/>
      <c r="G26" s="48"/>
      <c r="H26" s="48"/>
    </row>
    <row r="27" spans="1:8" ht="9.75">
      <c r="A27" s="320" t="s">
        <v>324</v>
      </c>
      <c r="B27" s="178"/>
      <c r="C27" s="48"/>
      <c r="D27" s="48"/>
      <c r="E27" s="48"/>
      <c r="F27" s="48"/>
      <c r="G27" s="48"/>
      <c r="H27" s="48"/>
    </row>
    <row r="28" spans="1:8" ht="9.75">
      <c r="A28" s="537" t="s">
        <v>318</v>
      </c>
      <c r="B28" s="538"/>
      <c r="C28" s="181">
        <f aca="true" t="shared" si="2" ref="C28:H28">+SUM(C23:C27)</f>
        <v>0</v>
      </c>
      <c r="D28" s="181">
        <f t="shared" si="2"/>
        <v>0</v>
      </c>
      <c r="E28" s="181">
        <f t="shared" si="2"/>
        <v>0</v>
      </c>
      <c r="F28" s="181">
        <f t="shared" si="2"/>
        <v>0</v>
      </c>
      <c r="G28" s="181">
        <f t="shared" si="2"/>
        <v>0</v>
      </c>
      <c r="H28" s="181">
        <f t="shared" si="2"/>
        <v>0</v>
      </c>
    </row>
    <row r="29" spans="1:8" ht="10.5" thickBot="1">
      <c r="A29" s="550" t="s">
        <v>234</v>
      </c>
      <c r="B29" s="550"/>
      <c r="C29" s="182">
        <f aca="true" t="shared" si="3" ref="C29:H29">+C12+C21+C28</f>
        <v>80000</v>
      </c>
      <c r="D29" s="182">
        <f t="shared" si="3"/>
        <v>0</v>
      </c>
      <c r="E29" s="182">
        <f t="shared" si="3"/>
        <v>0</v>
      </c>
      <c r="F29" s="182">
        <f t="shared" si="3"/>
        <v>0</v>
      </c>
      <c r="G29" s="182">
        <f t="shared" si="3"/>
        <v>0</v>
      </c>
      <c r="H29" s="182">
        <f t="shared" si="3"/>
        <v>0</v>
      </c>
    </row>
    <row r="30" spans="1:8" ht="10.5" thickTop="1">
      <c r="A30" s="183"/>
      <c r="B30" s="183"/>
      <c r="C30" s="184"/>
      <c r="D30" s="184"/>
      <c r="E30" s="184"/>
      <c r="F30" s="184"/>
      <c r="G30" s="184"/>
      <c r="H30" s="184"/>
    </row>
    <row r="31" spans="1:8" ht="10.5" thickBot="1">
      <c r="A31" s="185" t="s">
        <v>62</v>
      </c>
      <c r="B31" s="304">
        <f>+Pressupostos!B22</f>
        <v>0.23</v>
      </c>
      <c r="C31" s="182">
        <f aca="true" t="shared" si="4" ref="C31:H31">+$B$31*(C16+C18+C20+C25)</f>
        <v>0</v>
      </c>
      <c r="D31" s="182">
        <f t="shared" si="4"/>
        <v>0</v>
      </c>
      <c r="E31" s="182">
        <f t="shared" si="4"/>
        <v>0</v>
      </c>
      <c r="F31" s="182">
        <f t="shared" si="4"/>
        <v>0</v>
      </c>
      <c r="G31" s="182">
        <f t="shared" si="4"/>
        <v>0</v>
      </c>
      <c r="H31" s="182">
        <f t="shared" si="4"/>
        <v>0</v>
      </c>
    </row>
    <row r="32" spans="1:8" ht="10.5" thickTop="1">
      <c r="A32" s="186"/>
      <c r="B32" s="187"/>
      <c r="C32" s="188"/>
      <c r="D32" s="188"/>
      <c r="E32" s="188"/>
      <c r="F32" s="188"/>
      <c r="G32" s="188"/>
      <c r="H32" s="188"/>
    </row>
    <row r="33" spans="1:8" ht="9.75">
      <c r="A33" s="542" t="s">
        <v>364</v>
      </c>
      <c r="B33" s="542"/>
      <c r="C33" s="176">
        <f aca="true" t="shared" si="5" ref="C33:H33">+C7</f>
        <v>2017</v>
      </c>
      <c r="D33" s="176">
        <f t="shared" si="5"/>
        <v>2018</v>
      </c>
      <c r="E33" s="176">
        <f t="shared" si="5"/>
        <v>2019</v>
      </c>
      <c r="F33" s="176">
        <f t="shared" si="5"/>
        <v>2020</v>
      </c>
      <c r="G33" s="176">
        <f t="shared" si="5"/>
        <v>2021</v>
      </c>
      <c r="H33" s="176">
        <f t="shared" si="5"/>
        <v>2022</v>
      </c>
    </row>
    <row r="34" spans="1:8" ht="9.75">
      <c r="A34" s="177" t="s">
        <v>257</v>
      </c>
      <c r="B34" s="191"/>
      <c r="C34" s="327"/>
      <c r="D34" s="327"/>
      <c r="E34" s="327"/>
      <c r="F34" s="327"/>
      <c r="G34" s="327"/>
      <c r="H34" s="327"/>
    </row>
    <row r="35" spans="1:8" ht="9.75">
      <c r="A35" s="320" t="s">
        <v>258</v>
      </c>
      <c r="B35" s="191"/>
      <c r="C35" s="324">
        <f>+C9</f>
        <v>0</v>
      </c>
      <c r="D35" s="324">
        <f>+C35+D9</f>
        <v>0</v>
      </c>
      <c r="E35" s="324">
        <f>+D35+E9</f>
        <v>0</v>
      </c>
      <c r="F35" s="324">
        <f>+E35+F9</f>
        <v>0</v>
      </c>
      <c r="G35" s="324">
        <f>+F35+G9</f>
        <v>0</v>
      </c>
      <c r="H35" s="324">
        <f>+G35+H9</f>
        <v>0</v>
      </c>
    </row>
    <row r="36" spans="1:8" ht="9.75">
      <c r="A36" s="320" t="s">
        <v>259</v>
      </c>
      <c r="B36" s="191"/>
      <c r="C36" s="324">
        <f>+C10</f>
        <v>0</v>
      </c>
      <c r="D36" s="324">
        <f aca="true" t="shared" si="6" ref="D36:H37">+C36+D10</f>
        <v>0</v>
      </c>
      <c r="E36" s="324">
        <f t="shared" si="6"/>
        <v>0</v>
      </c>
      <c r="F36" s="324">
        <f t="shared" si="6"/>
        <v>0</v>
      </c>
      <c r="G36" s="324">
        <f t="shared" si="6"/>
        <v>0</v>
      </c>
      <c r="H36" s="324">
        <f t="shared" si="6"/>
        <v>0</v>
      </c>
    </row>
    <row r="37" spans="1:8" ht="9.75">
      <c r="A37" s="320" t="s">
        <v>260</v>
      </c>
      <c r="B37" s="191"/>
      <c r="C37" s="324">
        <f>+C11</f>
        <v>0</v>
      </c>
      <c r="D37" s="324">
        <f t="shared" si="6"/>
        <v>0</v>
      </c>
      <c r="E37" s="324">
        <f t="shared" si="6"/>
        <v>0</v>
      </c>
      <c r="F37" s="324">
        <f t="shared" si="6"/>
        <v>0</v>
      </c>
      <c r="G37" s="324">
        <f t="shared" si="6"/>
        <v>0</v>
      </c>
      <c r="H37" s="324">
        <f t="shared" si="6"/>
        <v>0</v>
      </c>
    </row>
    <row r="38" spans="1:8" ht="9.75">
      <c r="A38" s="539" t="s">
        <v>261</v>
      </c>
      <c r="B38" s="540"/>
      <c r="C38" s="323">
        <f aca="true" t="shared" si="7" ref="C38:H38">+SUM(C35:C37)</f>
        <v>0</v>
      </c>
      <c r="D38" s="323">
        <f t="shared" si="7"/>
        <v>0</v>
      </c>
      <c r="E38" s="323">
        <f t="shared" si="7"/>
        <v>0</v>
      </c>
      <c r="F38" s="323">
        <f t="shared" si="7"/>
        <v>0</v>
      </c>
      <c r="G38" s="323">
        <f t="shared" si="7"/>
        <v>0</v>
      </c>
      <c r="H38" s="323">
        <f t="shared" si="7"/>
        <v>0</v>
      </c>
    </row>
    <row r="39" spans="1:8" ht="9.75">
      <c r="A39" s="177" t="s">
        <v>262</v>
      </c>
      <c r="B39" s="178"/>
      <c r="C39" s="323"/>
      <c r="D39" s="323"/>
      <c r="E39" s="323"/>
      <c r="F39" s="323"/>
      <c r="G39" s="323"/>
      <c r="H39" s="323"/>
    </row>
    <row r="40" spans="1:8" ht="9.75">
      <c r="A40" s="179" t="s">
        <v>348</v>
      </c>
      <c r="B40" s="178"/>
      <c r="C40" s="323">
        <f>+C14</f>
        <v>0</v>
      </c>
      <c r="D40" s="323">
        <f aca="true" t="shared" si="8" ref="D40:H44">+C40+D14</f>
        <v>0</v>
      </c>
      <c r="E40" s="323">
        <f t="shared" si="8"/>
        <v>0</v>
      </c>
      <c r="F40" s="323">
        <f t="shared" si="8"/>
        <v>0</v>
      </c>
      <c r="G40" s="323">
        <f t="shared" si="8"/>
        <v>0</v>
      </c>
      <c r="H40" s="323">
        <f t="shared" si="8"/>
        <v>0</v>
      </c>
    </row>
    <row r="41" spans="1:8" ht="9.75">
      <c r="A41" s="179" t="s">
        <v>230</v>
      </c>
      <c r="B41" s="178"/>
      <c r="C41" s="324">
        <f aca="true" t="shared" si="9" ref="C41:C46">+C15</f>
        <v>0</v>
      </c>
      <c r="D41" s="324">
        <f t="shared" si="8"/>
        <v>0</v>
      </c>
      <c r="E41" s="324">
        <f t="shared" si="8"/>
        <v>0</v>
      </c>
      <c r="F41" s="324">
        <f t="shared" si="8"/>
        <v>0</v>
      </c>
      <c r="G41" s="324">
        <f t="shared" si="8"/>
        <v>0</v>
      </c>
      <c r="H41" s="324">
        <f t="shared" si="8"/>
        <v>0</v>
      </c>
    </row>
    <row r="42" spans="1:8" ht="9.75">
      <c r="A42" s="179" t="s">
        <v>231</v>
      </c>
      <c r="B42" s="178"/>
      <c r="C42" s="324">
        <f t="shared" si="9"/>
        <v>0</v>
      </c>
      <c r="D42" s="324">
        <f t="shared" si="8"/>
        <v>0</v>
      </c>
      <c r="E42" s="324">
        <f t="shared" si="8"/>
        <v>0</v>
      </c>
      <c r="F42" s="324">
        <f t="shared" si="8"/>
        <v>0</v>
      </c>
      <c r="G42" s="324">
        <f t="shared" si="8"/>
        <v>0</v>
      </c>
      <c r="H42" s="324">
        <f t="shared" si="8"/>
        <v>0</v>
      </c>
    </row>
    <row r="43" spans="1:8" ht="9.75">
      <c r="A43" s="179" t="s">
        <v>232</v>
      </c>
      <c r="B43" s="178"/>
      <c r="C43" s="324">
        <f t="shared" si="9"/>
        <v>80000</v>
      </c>
      <c r="D43" s="324">
        <f t="shared" si="8"/>
        <v>80000</v>
      </c>
      <c r="E43" s="324">
        <f t="shared" si="8"/>
        <v>80000</v>
      </c>
      <c r="F43" s="324">
        <f t="shared" si="8"/>
        <v>80000</v>
      </c>
      <c r="G43" s="324">
        <f t="shared" si="8"/>
        <v>80000</v>
      </c>
      <c r="H43" s="324">
        <f t="shared" si="8"/>
        <v>80000</v>
      </c>
    </row>
    <row r="44" spans="1:8" ht="9.75">
      <c r="A44" s="179" t="s">
        <v>233</v>
      </c>
      <c r="B44" s="178"/>
      <c r="C44" s="324">
        <f t="shared" si="9"/>
        <v>0</v>
      </c>
      <c r="D44" s="324">
        <f t="shared" si="8"/>
        <v>0</v>
      </c>
      <c r="E44" s="324">
        <f t="shared" si="8"/>
        <v>0</v>
      </c>
      <c r="F44" s="324">
        <f t="shared" si="8"/>
        <v>0</v>
      </c>
      <c r="G44" s="324">
        <f t="shared" si="8"/>
        <v>0</v>
      </c>
      <c r="H44" s="324">
        <f t="shared" si="8"/>
        <v>0</v>
      </c>
    </row>
    <row r="45" spans="1:8" ht="9.75">
      <c r="A45" s="179" t="s">
        <v>398</v>
      </c>
      <c r="B45" s="178"/>
      <c r="C45" s="324">
        <f t="shared" si="9"/>
        <v>0</v>
      </c>
      <c r="D45" s="324">
        <f aca="true" t="shared" si="10" ref="D45:H46">+C45+D19</f>
        <v>0</v>
      </c>
      <c r="E45" s="324">
        <f t="shared" si="10"/>
        <v>0</v>
      </c>
      <c r="F45" s="324">
        <f t="shared" si="10"/>
        <v>0</v>
      </c>
      <c r="G45" s="324">
        <f t="shared" si="10"/>
        <v>0</v>
      </c>
      <c r="H45" s="324">
        <f t="shared" si="10"/>
        <v>0</v>
      </c>
    </row>
    <row r="46" spans="1:8" ht="9.75">
      <c r="A46" s="179" t="s">
        <v>264</v>
      </c>
      <c r="B46" s="178"/>
      <c r="C46" s="324">
        <f t="shared" si="9"/>
        <v>0</v>
      </c>
      <c r="D46" s="324">
        <f t="shared" si="10"/>
        <v>0</v>
      </c>
      <c r="E46" s="324">
        <f t="shared" si="10"/>
        <v>0</v>
      </c>
      <c r="F46" s="324">
        <f t="shared" si="10"/>
        <v>0</v>
      </c>
      <c r="G46" s="324">
        <f t="shared" si="10"/>
        <v>0</v>
      </c>
      <c r="H46" s="324">
        <f t="shared" si="10"/>
        <v>0</v>
      </c>
    </row>
    <row r="47" spans="1:8" ht="9.75">
      <c r="A47" s="537" t="s">
        <v>319</v>
      </c>
      <c r="B47" s="538"/>
      <c r="C47" s="325">
        <f aca="true" t="shared" si="11" ref="C47:H47">+SUM(C40:C46)</f>
        <v>80000</v>
      </c>
      <c r="D47" s="325">
        <f t="shared" si="11"/>
        <v>80000</v>
      </c>
      <c r="E47" s="325">
        <f t="shared" si="11"/>
        <v>80000</v>
      </c>
      <c r="F47" s="325">
        <f t="shared" si="11"/>
        <v>80000</v>
      </c>
      <c r="G47" s="325">
        <f t="shared" si="11"/>
        <v>80000</v>
      </c>
      <c r="H47" s="325">
        <f t="shared" si="11"/>
        <v>80000</v>
      </c>
    </row>
    <row r="48" spans="1:8" ht="9.75">
      <c r="A48" s="177" t="s">
        <v>311</v>
      </c>
      <c r="B48" s="178"/>
      <c r="C48" s="328"/>
      <c r="D48" s="328"/>
      <c r="E48" s="328"/>
      <c r="F48" s="328"/>
      <c r="G48" s="328"/>
      <c r="H48" s="328"/>
    </row>
    <row r="49" spans="1:8" ht="9.75">
      <c r="A49" s="320" t="s">
        <v>320</v>
      </c>
      <c r="B49" s="178"/>
      <c r="C49" s="189">
        <f>+C23</f>
        <v>0</v>
      </c>
      <c r="D49" s="189">
        <f aca="true" t="shared" si="12" ref="D49:H51">+C49+D23</f>
        <v>0</v>
      </c>
      <c r="E49" s="189">
        <f t="shared" si="12"/>
        <v>0</v>
      </c>
      <c r="F49" s="189">
        <f t="shared" si="12"/>
        <v>0</v>
      </c>
      <c r="G49" s="189">
        <f t="shared" si="12"/>
        <v>0</v>
      </c>
      <c r="H49" s="189">
        <f t="shared" si="12"/>
        <v>0</v>
      </c>
    </row>
    <row r="50" spans="1:8" ht="9.75">
      <c r="A50" s="320" t="s">
        <v>321</v>
      </c>
      <c r="B50" s="178"/>
      <c r="C50" s="189">
        <f>+C24</f>
        <v>0</v>
      </c>
      <c r="D50" s="189">
        <f t="shared" si="12"/>
        <v>0</v>
      </c>
      <c r="E50" s="189">
        <f t="shared" si="12"/>
        <v>0</v>
      </c>
      <c r="F50" s="189">
        <f t="shared" si="12"/>
        <v>0</v>
      </c>
      <c r="G50" s="189">
        <f t="shared" si="12"/>
        <v>0</v>
      </c>
      <c r="H50" s="189">
        <f t="shared" si="12"/>
        <v>0</v>
      </c>
    </row>
    <row r="51" spans="1:8" ht="9.75">
      <c r="A51" s="320" t="s">
        <v>322</v>
      </c>
      <c r="B51" s="178"/>
      <c r="C51" s="189">
        <f>+C25</f>
        <v>0</v>
      </c>
      <c r="D51" s="189">
        <f t="shared" si="12"/>
        <v>0</v>
      </c>
      <c r="E51" s="189">
        <f t="shared" si="12"/>
        <v>0</v>
      </c>
      <c r="F51" s="189">
        <f t="shared" si="12"/>
        <v>0</v>
      </c>
      <c r="G51" s="189">
        <f t="shared" si="12"/>
        <v>0</v>
      </c>
      <c r="H51" s="189">
        <f t="shared" si="12"/>
        <v>0</v>
      </c>
    </row>
    <row r="52" spans="1:8" ht="9.75">
      <c r="A52" s="320" t="s">
        <v>323</v>
      </c>
      <c r="B52" s="178"/>
      <c r="C52" s="189">
        <f>+C26</f>
        <v>0</v>
      </c>
      <c r="D52" s="189">
        <f aca="true" t="shared" si="13" ref="D52:H53">+C52+D26</f>
        <v>0</v>
      </c>
      <c r="E52" s="189">
        <f t="shared" si="13"/>
        <v>0</v>
      </c>
      <c r="F52" s="189">
        <f t="shared" si="13"/>
        <v>0</v>
      </c>
      <c r="G52" s="189">
        <f t="shared" si="13"/>
        <v>0</v>
      </c>
      <c r="H52" s="189">
        <f t="shared" si="13"/>
        <v>0</v>
      </c>
    </row>
    <row r="53" spans="1:8" ht="9.75">
      <c r="A53" s="320" t="s">
        <v>324</v>
      </c>
      <c r="B53" s="178"/>
      <c r="C53" s="189">
        <f>+C27</f>
        <v>0</v>
      </c>
      <c r="D53" s="189">
        <f t="shared" si="13"/>
        <v>0</v>
      </c>
      <c r="E53" s="189">
        <f t="shared" si="13"/>
        <v>0</v>
      </c>
      <c r="F53" s="189">
        <f t="shared" si="13"/>
        <v>0</v>
      </c>
      <c r="G53" s="189">
        <f t="shared" si="13"/>
        <v>0</v>
      </c>
      <c r="H53" s="189">
        <f t="shared" si="13"/>
        <v>0</v>
      </c>
    </row>
    <row r="54" spans="1:8" ht="9.75">
      <c r="A54" s="537" t="s">
        <v>318</v>
      </c>
      <c r="B54" s="538"/>
      <c r="C54" s="325">
        <f aca="true" t="shared" si="14" ref="C54:H54">+SUM(C49:C53)</f>
        <v>0</v>
      </c>
      <c r="D54" s="325">
        <f t="shared" si="14"/>
        <v>0</v>
      </c>
      <c r="E54" s="325">
        <f t="shared" si="14"/>
        <v>0</v>
      </c>
      <c r="F54" s="325">
        <f t="shared" si="14"/>
        <v>0</v>
      </c>
      <c r="G54" s="325">
        <f t="shared" si="14"/>
        <v>0</v>
      </c>
      <c r="H54" s="325">
        <f t="shared" si="14"/>
        <v>0</v>
      </c>
    </row>
    <row r="55" spans="1:8" ht="10.5" thickBot="1">
      <c r="A55" s="550" t="s">
        <v>347</v>
      </c>
      <c r="B55" s="550"/>
      <c r="C55" s="182">
        <f aca="true" t="shared" si="15" ref="C55:H55">+C38+C47+C54</f>
        <v>80000</v>
      </c>
      <c r="D55" s="182">
        <f t="shared" si="15"/>
        <v>80000</v>
      </c>
      <c r="E55" s="182">
        <f t="shared" si="15"/>
        <v>80000</v>
      </c>
      <c r="F55" s="182">
        <f t="shared" si="15"/>
        <v>80000</v>
      </c>
      <c r="G55" s="182">
        <f t="shared" si="15"/>
        <v>80000</v>
      </c>
      <c r="H55" s="182">
        <f t="shared" si="15"/>
        <v>80000</v>
      </c>
    </row>
    <row r="56" spans="1:8" ht="10.5" thickTop="1">
      <c r="A56" s="187"/>
      <c r="B56" s="187"/>
      <c r="C56" s="188"/>
      <c r="D56" s="188"/>
      <c r="E56" s="188"/>
      <c r="F56" s="188"/>
      <c r="G56" s="188"/>
      <c r="H56" s="188"/>
    </row>
    <row r="57" spans="1:8" ht="9.75">
      <c r="A57" s="187"/>
      <c r="B57" s="187"/>
      <c r="C57" s="188"/>
      <c r="D57" s="188"/>
      <c r="E57" s="188"/>
      <c r="F57" s="188"/>
      <c r="G57" s="188"/>
      <c r="H57" s="188"/>
    </row>
    <row r="58" spans="1:8" ht="9.75">
      <c r="A58" s="543" t="s">
        <v>353</v>
      </c>
      <c r="B58" s="544"/>
      <c r="C58" s="545"/>
      <c r="D58" s="188"/>
      <c r="E58" s="188"/>
      <c r="F58" s="188"/>
      <c r="G58" s="188"/>
      <c r="H58" s="188"/>
    </row>
    <row r="59" spans="1:8" ht="9.75">
      <c r="A59" s="330" t="s">
        <v>257</v>
      </c>
      <c r="B59" s="331"/>
      <c r="C59" s="332"/>
      <c r="D59" s="188"/>
      <c r="E59" s="188"/>
      <c r="F59" s="188"/>
      <c r="G59" s="188"/>
      <c r="H59" s="188"/>
    </row>
    <row r="60" spans="1:8" ht="9.75">
      <c r="A60" s="320" t="s">
        <v>259</v>
      </c>
      <c r="B60" s="178"/>
      <c r="C60" s="333">
        <v>0.04</v>
      </c>
      <c r="D60" s="188"/>
      <c r="E60" s="188"/>
      <c r="F60" s="188"/>
      <c r="G60" s="188"/>
      <c r="H60" s="188"/>
    </row>
    <row r="61" spans="1:8" ht="9.75">
      <c r="A61" s="320" t="s">
        <v>260</v>
      </c>
      <c r="B61" s="178"/>
      <c r="C61" s="333">
        <v>0.2</v>
      </c>
      <c r="D61" s="188"/>
      <c r="E61" s="188"/>
      <c r="F61" s="188"/>
      <c r="G61" s="188"/>
      <c r="H61" s="188"/>
    </row>
    <row r="62" spans="1:8" ht="9.75">
      <c r="A62" s="177" t="s">
        <v>262</v>
      </c>
      <c r="B62" s="178"/>
      <c r="C62" s="334"/>
      <c r="D62" s="188"/>
      <c r="E62" s="188"/>
      <c r="F62" s="188"/>
      <c r="G62" s="188"/>
      <c r="H62" s="188"/>
    </row>
    <row r="63" spans="1:8" ht="9.75">
      <c r="A63" s="320" t="s">
        <v>351</v>
      </c>
      <c r="B63" s="178"/>
      <c r="C63" s="333">
        <v>0.1</v>
      </c>
      <c r="D63" s="188"/>
      <c r="E63" s="188"/>
      <c r="F63" s="188"/>
      <c r="G63" s="188"/>
      <c r="H63" s="188"/>
    </row>
    <row r="64" spans="1:8" ht="9.75">
      <c r="A64" s="320" t="s">
        <v>354</v>
      </c>
      <c r="B64" s="178"/>
      <c r="C64" s="333">
        <v>0.125</v>
      </c>
      <c r="D64" s="188"/>
      <c r="E64" s="188"/>
      <c r="F64" s="188"/>
      <c r="G64" s="188"/>
      <c r="H64" s="188"/>
    </row>
    <row r="65" spans="1:8" ht="9.75">
      <c r="A65" s="320" t="s">
        <v>355</v>
      </c>
      <c r="B65" s="178"/>
      <c r="C65" s="333">
        <v>0.25</v>
      </c>
      <c r="D65" s="188"/>
      <c r="E65" s="188"/>
      <c r="F65" s="188"/>
      <c r="G65" s="188"/>
      <c r="H65" s="188"/>
    </row>
    <row r="66" spans="1:8" ht="9.75">
      <c r="A66" s="320" t="s">
        <v>356</v>
      </c>
      <c r="B66" s="178"/>
      <c r="C66" s="333">
        <v>0.2</v>
      </c>
      <c r="D66" s="188"/>
      <c r="E66" s="188"/>
      <c r="F66" s="188"/>
      <c r="G66" s="188"/>
      <c r="H66" s="188"/>
    </row>
    <row r="67" spans="1:8" ht="9.75">
      <c r="A67" s="320" t="s">
        <v>263</v>
      </c>
      <c r="B67" s="178"/>
      <c r="C67" s="333">
        <v>0.2</v>
      </c>
      <c r="D67" s="188"/>
      <c r="E67" s="188"/>
      <c r="F67" s="188"/>
      <c r="G67" s="188"/>
      <c r="H67" s="188"/>
    </row>
    <row r="68" spans="1:8" ht="9.75">
      <c r="A68" s="320" t="s">
        <v>357</v>
      </c>
      <c r="B68" s="178"/>
      <c r="C68" s="333">
        <v>0.2</v>
      </c>
      <c r="D68" s="188"/>
      <c r="E68" s="188"/>
      <c r="F68" s="188"/>
      <c r="G68" s="188"/>
      <c r="H68" s="188"/>
    </row>
    <row r="69" spans="1:8" ht="9.75">
      <c r="A69" s="177" t="s">
        <v>311</v>
      </c>
      <c r="B69" s="178"/>
      <c r="C69" s="334"/>
      <c r="D69" s="188"/>
      <c r="E69" s="188"/>
      <c r="F69" s="188"/>
      <c r="G69" s="188"/>
      <c r="H69" s="188"/>
    </row>
    <row r="70" spans="1:8" ht="9.75">
      <c r="A70" s="320" t="s">
        <v>321</v>
      </c>
      <c r="B70" s="178"/>
      <c r="C70" s="335">
        <v>0.33333</v>
      </c>
      <c r="D70" s="336" t="s">
        <v>363</v>
      </c>
      <c r="E70" s="188"/>
      <c r="F70" s="188"/>
      <c r="G70" s="188"/>
      <c r="H70" s="188"/>
    </row>
    <row r="71" spans="1:8" ht="9.75">
      <c r="A71" s="320" t="s">
        <v>322</v>
      </c>
      <c r="B71" s="178"/>
      <c r="C71" s="335">
        <f>100%/3</f>
        <v>0.3333333333333333</v>
      </c>
      <c r="D71" s="188"/>
      <c r="E71" s="188"/>
      <c r="F71" s="188"/>
      <c r="G71" s="188"/>
      <c r="H71" s="188"/>
    </row>
    <row r="72" spans="1:8" ht="9.75">
      <c r="A72" s="320" t="s">
        <v>323</v>
      </c>
      <c r="B72" s="178"/>
      <c r="C72" s="335">
        <v>0.2</v>
      </c>
      <c r="D72" s="188"/>
      <c r="E72" s="188"/>
      <c r="F72" s="188"/>
      <c r="G72" s="188"/>
      <c r="H72" s="188"/>
    </row>
    <row r="73" spans="1:8" ht="9.75">
      <c r="A73" s="320" t="s">
        <v>324</v>
      </c>
      <c r="B73" s="178"/>
      <c r="C73" s="335">
        <f>100%/3</f>
        <v>0.3333333333333333</v>
      </c>
      <c r="D73" s="188"/>
      <c r="E73" s="188"/>
      <c r="F73" s="188"/>
      <c r="G73" s="188"/>
      <c r="H73" s="188"/>
    </row>
    <row r="74" spans="1:8" ht="9.75">
      <c r="A74" s="187"/>
      <c r="B74" s="187"/>
      <c r="C74" s="188"/>
      <c r="D74" s="188"/>
      <c r="E74" s="188"/>
      <c r="F74" s="188"/>
      <c r="G74" s="188"/>
      <c r="H74" s="188"/>
    </row>
    <row r="75" spans="1:8" ht="9.75">
      <c r="A75" s="405" t="s">
        <v>413</v>
      </c>
      <c r="B75" s="178"/>
      <c r="C75" s="406">
        <f>+FSE!F8</f>
        <v>12</v>
      </c>
      <c r="D75" s="188"/>
      <c r="E75" s="188"/>
      <c r="F75" s="188"/>
      <c r="G75" s="188"/>
      <c r="H75" s="188"/>
    </row>
    <row r="76" spans="1:8" ht="9.75">
      <c r="A76" s="187"/>
      <c r="B76" s="187"/>
      <c r="C76" s="188"/>
      <c r="D76" s="188"/>
      <c r="E76" s="188"/>
      <c r="F76" s="188"/>
      <c r="G76" s="188"/>
      <c r="H76" s="188"/>
    </row>
    <row r="77" spans="1:8" ht="9.75" hidden="1">
      <c r="A77" s="190" t="s">
        <v>350</v>
      </c>
      <c r="B77" s="191"/>
      <c r="C77" s="176">
        <f>+C7</f>
        <v>2017</v>
      </c>
      <c r="D77" s="176">
        <f>+C77+1</f>
        <v>2018</v>
      </c>
      <c r="E77" s="176">
        <f>+D77+1</f>
        <v>2019</v>
      </c>
      <c r="F77" s="176">
        <f>+E77+1</f>
        <v>2020</v>
      </c>
      <c r="G77" s="176">
        <f>+F77+1</f>
        <v>2021</v>
      </c>
      <c r="H77" s="176">
        <f>+G77+1</f>
        <v>2022</v>
      </c>
    </row>
    <row r="78" spans="1:8" ht="9.75" hidden="1">
      <c r="A78" s="341" t="s">
        <v>257</v>
      </c>
      <c r="B78" s="431"/>
      <c r="C78" s="337"/>
      <c r="D78" s="337"/>
      <c r="E78" s="337"/>
      <c r="F78" s="337"/>
      <c r="G78" s="337"/>
      <c r="H78" s="337"/>
    </row>
    <row r="79" spans="1:8" ht="9.75" hidden="1">
      <c r="A79" s="433" t="s">
        <v>259</v>
      </c>
      <c r="B79" s="434">
        <f>+C60</f>
        <v>0.04</v>
      </c>
      <c r="C79" s="435">
        <f aca="true" t="shared" si="16" ref="C79:H79">SUM(C80:C85)</f>
        <v>0</v>
      </c>
      <c r="D79" s="435">
        <f t="shared" si="16"/>
        <v>0</v>
      </c>
      <c r="E79" s="435">
        <f t="shared" si="16"/>
        <v>0</v>
      </c>
      <c r="F79" s="435">
        <f t="shared" si="16"/>
        <v>0</v>
      </c>
      <c r="G79" s="435">
        <f t="shared" si="16"/>
        <v>0</v>
      </c>
      <c r="H79" s="435">
        <f t="shared" si="16"/>
        <v>0</v>
      </c>
    </row>
    <row r="80" spans="1:8" ht="9.75" hidden="1">
      <c r="A80" s="433">
        <f>C77</f>
        <v>2017</v>
      </c>
      <c r="B80" s="434"/>
      <c r="C80" s="435">
        <f>+IF(C$10&lt;0,0,C$10*$B$79)/12*C75</f>
        <v>0</v>
      </c>
      <c r="D80" s="477">
        <f>+IF(C10=0,0,+IF(ROUNDUP(SUM($C80:C80),0)&lt;$C$10,$C$10*$B$79,0))</f>
        <v>0</v>
      </c>
      <c r="E80" s="435">
        <f>+IF(D80=0,0,+IF(ROUNDUP(SUM($C80:D80),0)&lt;$C$10,$C$10*$B$79,0))</f>
        <v>0</v>
      </c>
      <c r="F80" s="441">
        <f>+IF(E80=0,0,+IF(ROUNDUP(SUM($C80:E80),0)&lt;$C$10,MIN(($C10-SUM($C80:E80)),$C$10*$B$79),0))</f>
        <v>0</v>
      </c>
      <c r="G80" s="435">
        <f>+IF(F80=0,0,+IF(ROUNDUP(SUM($C80:F80),0)&lt;$C$10,MIN(($C10-SUM($C80:F80)),$C$10*$B$79),0))</f>
        <v>0</v>
      </c>
      <c r="H80" s="435">
        <f>+IF(G80=0,0,+IF(ROUNDUP(SUM($C80:G80),0)&lt;$C$10,MIN(($C10-SUM($C80:G80)),$C$10*$B$79),0))</f>
        <v>0</v>
      </c>
    </row>
    <row r="81" spans="1:8" ht="9.75" hidden="1">
      <c r="A81" s="433">
        <f>A80+1</f>
        <v>2018</v>
      </c>
      <c r="B81" s="434"/>
      <c r="C81" s="435"/>
      <c r="D81" s="435">
        <f>+IF(D$10&lt;0,0,D$10*$B$79)</f>
        <v>0</v>
      </c>
      <c r="E81" s="435">
        <f>+IF(D81=0,0,+IF(ROUNDUP(SUM($D81:D81),0)&lt;$D$10,$D$10*$B$79,0))</f>
        <v>0</v>
      </c>
      <c r="F81" s="435">
        <f>+IF(E81=0,0,+IF(ROUNDUP(SUM($D81:E81),0)&lt;$D$10,$D$10*$B$79,0))</f>
        <v>0</v>
      </c>
      <c r="G81" s="435">
        <f>+IF(F81=0,0,+IF(ROUNDUP(SUM($D81:F81),0)&lt;$D$10,$D$10*$B$79,0))</f>
        <v>0</v>
      </c>
      <c r="H81" s="435">
        <f>+IF(G81=0,0,+IF(ROUNDUP(SUM($D81:G81),0)&lt;$D$10,$D$10*$B$79,0))</f>
        <v>0</v>
      </c>
    </row>
    <row r="82" spans="1:8" ht="9.75" hidden="1">
      <c r="A82" s="433">
        <f>A81+1</f>
        <v>2019</v>
      </c>
      <c r="B82" s="434"/>
      <c r="C82" s="435"/>
      <c r="D82" s="435"/>
      <c r="E82" s="435">
        <f>+IF(E$10&lt;0,0,E$10*$B$79)</f>
        <v>0</v>
      </c>
      <c r="F82" s="435">
        <f>+IF(E82=0,0,+IF(ROUNDUP(SUM($E82:E82),0)&lt;$E$10,$E$10*$B$79,0))</f>
        <v>0</v>
      </c>
      <c r="G82" s="435">
        <f>+IF(F82=0,0,+IF(ROUNDUP(SUM($E82:F82),0)&lt;$E$10,$E$10*$B$79,0))</f>
        <v>0</v>
      </c>
      <c r="H82" s="435">
        <f>+IF(G82=0,0,+IF(ROUNDUP(SUM($E82:G82),0)&lt;$E$10,$E$10*$B$79,0))</f>
        <v>0</v>
      </c>
    </row>
    <row r="83" spans="1:8" ht="9.75" hidden="1">
      <c r="A83" s="433">
        <f>A82+1</f>
        <v>2020</v>
      </c>
      <c r="B83" s="434"/>
      <c r="C83" s="435"/>
      <c r="D83" s="435"/>
      <c r="E83" s="435"/>
      <c r="F83" s="435">
        <f>+IF(F$10&lt;0,0,F$10*$B$79)</f>
        <v>0</v>
      </c>
      <c r="G83" s="435">
        <f>+IF(F83=0,0,+IF(ROUNDUP(SUM($F83:F83),0)&lt;$F$10,$F$10*$B$79,0))</f>
        <v>0</v>
      </c>
      <c r="H83" s="435">
        <f>+IF(G83=0,0,+IF(ROUNDUP(SUM($F83:G83),0)&lt;$F$10,$F$10*$B$79,0))</f>
        <v>0</v>
      </c>
    </row>
    <row r="84" spans="1:8" ht="9.75" hidden="1">
      <c r="A84" s="433">
        <f>A83+1</f>
        <v>2021</v>
      </c>
      <c r="B84" s="434"/>
      <c r="C84" s="435"/>
      <c r="D84" s="435"/>
      <c r="E84" s="435"/>
      <c r="F84" s="435"/>
      <c r="G84" s="435">
        <f>+IF(G$10&lt;0,0,G$10*$B$79)</f>
        <v>0</v>
      </c>
      <c r="H84" s="435">
        <f>+IF(G84=0,0,+IF(ROUNDUP(SUM($G84:G84),0)&lt;$G$10,$G$10*$B$79,0))</f>
        <v>0</v>
      </c>
    </row>
    <row r="85" spans="1:8" ht="9.75" hidden="1">
      <c r="A85" s="433">
        <f>A84+1</f>
        <v>2022</v>
      </c>
      <c r="B85" s="434"/>
      <c r="C85" s="435"/>
      <c r="D85" s="435"/>
      <c r="E85" s="435"/>
      <c r="F85" s="435"/>
      <c r="G85" s="435"/>
      <c r="H85" s="435">
        <f>+IF(H$10&lt;0,0,H$10*$B$79)</f>
        <v>0</v>
      </c>
    </row>
    <row r="86" spans="1:8" ht="9.75" hidden="1">
      <c r="A86" s="436" t="s">
        <v>260</v>
      </c>
      <c r="B86" s="434">
        <f>+C61</f>
        <v>0.2</v>
      </c>
      <c r="C86" s="435">
        <f aca="true" t="shared" si="17" ref="C86:H86">SUM(C87:C92)</f>
        <v>0</v>
      </c>
      <c r="D86" s="435">
        <f t="shared" si="17"/>
        <v>0</v>
      </c>
      <c r="E86" s="435">
        <f t="shared" si="17"/>
        <v>0</v>
      </c>
      <c r="F86" s="435">
        <f t="shared" si="17"/>
        <v>0</v>
      </c>
      <c r="G86" s="435">
        <f t="shared" si="17"/>
        <v>0</v>
      </c>
      <c r="H86" s="435">
        <f t="shared" si="17"/>
        <v>0</v>
      </c>
    </row>
    <row r="87" spans="1:8" ht="9.75" hidden="1">
      <c r="A87" s="433">
        <f aca="true" t="shared" si="18" ref="A87:A92">A80</f>
        <v>2017</v>
      </c>
      <c r="B87" s="434"/>
      <c r="C87" s="435">
        <f>+IF(C$11&lt;0,0,C$11*$B$86)/12*$C$75</f>
        <v>0</v>
      </c>
      <c r="D87" s="477">
        <f>+IF(C11=0,0,+IF(ROUNDUP(SUM($C87:C87),0)&lt;$C$11,$C$11*$B$86,0))</f>
        <v>0</v>
      </c>
      <c r="E87" s="435">
        <f>+IF(D87=0,0,+IF(ROUNDUP(SUM($C87:D87),0)&lt;$C$11,$C$11*$B$86,0))</f>
        <v>0</v>
      </c>
      <c r="F87" s="441">
        <f>+IF(E87=0,0,+IF(ROUNDUP(SUM($C87:E87),0)&lt;$C$11,MIN(($C11-SUM($C87:E87)),$C$11*$B$86),0))</f>
        <v>0</v>
      </c>
      <c r="G87" s="435">
        <f>+IF(F87=0,0,+IF(ROUNDUP(SUM($C87:F87),0)&lt;$C$11,MIN(($C11-SUM($C87:F87)),$C$11*$B$86),0))</f>
        <v>0</v>
      </c>
      <c r="H87" s="435">
        <f>+IF(G87=0,0,+IF(ROUNDUP(SUM($C87:G87),0)&lt;$C$11,MIN(($C11-SUM($C87:G87)),$C$11*$B$86),0))</f>
        <v>0</v>
      </c>
    </row>
    <row r="88" spans="1:8" ht="9.75" hidden="1">
      <c r="A88" s="433">
        <f t="shared" si="18"/>
        <v>2018</v>
      </c>
      <c r="B88" s="434"/>
      <c r="C88" s="435"/>
      <c r="D88" s="435">
        <f>+IF(D$11&lt;0,0,D$11*$B$86)</f>
        <v>0</v>
      </c>
      <c r="E88" s="435">
        <f>+IF(D88=0,0,+IF(ROUNDUP(SUM($D88:D88),0)&lt;$D$11,$D$11*$B$86,0))</f>
        <v>0</v>
      </c>
      <c r="F88" s="435">
        <f>+IF(E88=0,0,+IF(ROUNDUP(SUM($D88:E88),0)&lt;$D$11,$D$11*$B$86,0))</f>
        <v>0</v>
      </c>
      <c r="G88" s="435">
        <f>+IF(F88=0,0,+IF(ROUNDUP(SUM($D88:F88),0)&lt;$D$11,$D$11*$B$86,0))</f>
        <v>0</v>
      </c>
      <c r="H88" s="435">
        <f>+IF(G88=0,0,+IF(ROUNDUP(SUM($D88:G88),0)&lt;$D$11,$D$11*$B$86,0))</f>
        <v>0</v>
      </c>
    </row>
    <row r="89" spans="1:8" ht="9.75" hidden="1">
      <c r="A89" s="433">
        <f t="shared" si="18"/>
        <v>2019</v>
      </c>
      <c r="B89" s="434"/>
      <c r="C89" s="435"/>
      <c r="D89" s="435"/>
      <c r="E89" s="435">
        <f>+IF(E$11&lt;0,0,E$11*$B$86)</f>
        <v>0</v>
      </c>
      <c r="F89" s="435">
        <f>+IF(E89=0,0,+IF(ROUNDUP(SUM($E89:E89),0)&lt;$E$11,$E$11*$B$86,0))</f>
        <v>0</v>
      </c>
      <c r="G89" s="435">
        <f>+IF(F89=0,0,+IF(ROUNDUP(SUM($E89:F89),0)&lt;$E$11,$E$11*$B$86,0))</f>
        <v>0</v>
      </c>
      <c r="H89" s="435">
        <f>+IF(G89=0,0,+IF(ROUNDUP(SUM($E89:G89),0)&lt;$E$11,$E$11*$B$86,0))</f>
        <v>0</v>
      </c>
    </row>
    <row r="90" spans="1:8" ht="9.75" hidden="1">
      <c r="A90" s="433">
        <f t="shared" si="18"/>
        <v>2020</v>
      </c>
      <c r="B90" s="434"/>
      <c r="C90" s="435"/>
      <c r="D90" s="435"/>
      <c r="E90" s="435"/>
      <c r="F90" s="435">
        <f>+IF(F$11&lt;0,0,F$11*$B$86)</f>
        <v>0</v>
      </c>
      <c r="G90" s="435">
        <f>+IF(F90=0,0,+IF(ROUNDUP(SUM($F90:F90),0)&lt;$F$11,$F$11*$B$86,0))</f>
        <v>0</v>
      </c>
      <c r="H90" s="435">
        <f>+IF(G90=0,0,+IF(ROUNDUP(SUM($F90:G90),0)&lt;$F$11,$F$11*$B$86,0))</f>
        <v>0</v>
      </c>
    </row>
    <row r="91" spans="1:8" ht="9.75" hidden="1">
      <c r="A91" s="433">
        <f t="shared" si="18"/>
        <v>2021</v>
      </c>
      <c r="B91" s="434"/>
      <c r="C91" s="435"/>
      <c r="D91" s="435"/>
      <c r="E91" s="435"/>
      <c r="F91" s="435"/>
      <c r="G91" s="435">
        <f>+IF(G$11&lt;0,0,G$11*$B$86)</f>
        <v>0</v>
      </c>
      <c r="H91" s="435">
        <f>+IF(G91=0,0,+IF(ROUNDUP(SUM($G91:G91),0)&lt;$G$11,$G$11*$B$86,0))</f>
        <v>0</v>
      </c>
    </row>
    <row r="92" spans="1:8" ht="9.75" hidden="1">
      <c r="A92" s="433">
        <f t="shared" si="18"/>
        <v>2022</v>
      </c>
      <c r="B92" s="434"/>
      <c r="C92" s="435"/>
      <c r="D92" s="435"/>
      <c r="E92" s="435"/>
      <c r="F92" s="435"/>
      <c r="G92" s="435"/>
      <c r="H92" s="435">
        <f>+IF(H$11&lt;0,0,H$11*$B$86)</f>
        <v>0</v>
      </c>
    </row>
    <row r="93" spans="1:8" ht="9.75" hidden="1">
      <c r="A93" s="541" t="s">
        <v>46</v>
      </c>
      <c r="B93" s="541"/>
      <c r="C93" s="437">
        <f aca="true" t="shared" si="19" ref="C93:H93">+C79+C86</f>
        <v>0</v>
      </c>
      <c r="D93" s="437">
        <f t="shared" si="19"/>
        <v>0</v>
      </c>
      <c r="E93" s="437">
        <f t="shared" si="19"/>
        <v>0</v>
      </c>
      <c r="F93" s="437">
        <f t="shared" si="19"/>
        <v>0</v>
      </c>
      <c r="G93" s="437">
        <f t="shared" si="19"/>
        <v>0</v>
      </c>
      <c r="H93" s="437">
        <f t="shared" si="19"/>
        <v>0</v>
      </c>
    </row>
    <row r="94" spans="1:8" ht="9.75" hidden="1">
      <c r="A94" s="438" t="s">
        <v>262</v>
      </c>
      <c r="B94" s="436"/>
      <c r="C94" s="439"/>
      <c r="D94" s="439"/>
      <c r="E94" s="439"/>
      <c r="F94" s="439"/>
      <c r="G94" s="439"/>
      <c r="H94" s="439"/>
    </row>
    <row r="95" spans="1:8" ht="9.75" hidden="1">
      <c r="A95" s="436" t="s">
        <v>351</v>
      </c>
      <c r="B95" s="434">
        <f>+C63</f>
        <v>0.1</v>
      </c>
      <c r="C95" s="435">
        <f aca="true" t="shared" si="20" ref="C95:H95">SUM(C96:C101)</f>
        <v>0</v>
      </c>
      <c r="D95" s="435">
        <f t="shared" si="20"/>
        <v>0</v>
      </c>
      <c r="E95" s="435">
        <f t="shared" si="20"/>
        <v>0</v>
      </c>
      <c r="F95" s="435">
        <f t="shared" si="20"/>
        <v>0</v>
      </c>
      <c r="G95" s="435">
        <f t="shared" si="20"/>
        <v>0</v>
      </c>
      <c r="H95" s="435">
        <f t="shared" si="20"/>
        <v>0</v>
      </c>
    </row>
    <row r="96" spans="1:8" ht="9.75" hidden="1">
      <c r="A96" s="433">
        <f aca="true" t="shared" si="21" ref="A96:A101">A87</f>
        <v>2017</v>
      </c>
      <c r="B96" s="434"/>
      <c r="C96" s="435">
        <f>+IF(C$15&lt;0,0,C$15*$B$95)/12*C75</f>
        <v>0</v>
      </c>
      <c r="D96" s="477">
        <f>+IF(C15=0,0,+IF(ROUNDUP(SUM($C96:C96),0)&lt;$C$15,$C$15*$B$95,0))</f>
        <v>0</v>
      </c>
      <c r="E96" s="435">
        <f>+IF(D96=0,0,+IF(ROUNDUP(SUM($C96:D96),0)&lt;$C$15,$C$15*$B$95,0))</f>
        <v>0</v>
      </c>
      <c r="F96" s="441">
        <f>+IF(E96=0,0,+IF(ROUNDUP(SUM($C96:E96),0)&lt;$C$15,MIN(($C15-SUM($C96:E96)),$C$15*$B$95),0))</f>
        <v>0</v>
      </c>
      <c r="G96" s="435">
        <f>+IF(F96=0,0,+IF(ROUNDUP(SUM($C96:F96),0)&lt;$C$15,MIN(($C15-SUM($C96:F96)),$C$15*$B$95),0))</f>
        <v>0</v>
      </c>
      <c r="H96" s="435">
        <f>+IF(G96=0,0,+IF(ROUNDUP(SUM($C96:G96),0)&lt;$C$15,MIN(($C15-SUM($C96:G96)),$C$15*$B$95),0))</f>
        <v>0</v>
      </c>
    </row>
    <row r="97" spans="1:8" ht="9.75" hidden="1">
      <c r="A97" s="433">
        <f t="shared" si="21"/>
        <v>2018</v>
      </c>
      <c r="B97" s="434"/>
      <c r="C97" s="435"/>
      <c r="D97" s="435">
        <f>+IF(D$15&lt;0,0,D$15*$B$95)</f>
        <v>0</v>
      </c>
      <c r="E97" s="435">
        <f>+IF(D97=0,0,+IF(ROUNDUP(SUM($D97:D97),0)&lt;$D$15,$D$15*$B$95,0))</f>
        <v>0</v>
      </c>
      <c r="F97" s="435">
        <f>+IF(E97=0,0,+IF(ROUNDUP(SUM($D97:E97),0)&lt;$D$15,$D$15*$B$95,0))</f>
        <v>0</v>
      </c>
      <c r="G97" s="435">
        <f>+IF(F97=0,0,+IF(ROUNDUP(SUM($D97:F97),0)&lt;$D$15,$D$15*$B$95,0))</f>
        <v>0</v>
      </c>
      <c r="H97" s="435">
        <f>+IF(G97=0,0,+IF(ROUNDUP(SUM($D97:G97),0)&lt;$D$15,$D$15*$B$95,0))</f>
        <v>0</v>
      </c>
    </row>
    <row r="98" spans="1:8" ht="9.75" hidden="1">
      <c r="A98" s="433">
        <f t="shared" si="21"/>
        <v>2019</v>
      </c>
      <c r="B98" s="434"/>
      <c r="C98" s="435"/>
      <c r="D98" s="435"/>
      <c r="E98" s="435">
        <f>+IF(E$15&lt;0,0,E$15*$B$95)</f>
        <v>0</v>
      </c>
      <c r="F98" s="435">
        <f>+IF(E98=0,0,+IF(ROUNDUP(SUM($E98:E98),0)&lt;$E$15,$E$15*$B$95,0))</f>
        <v>0</v>
      </c>
      <c r="G98" s="435">
        <f>+IF(F98=0,0,+IF(ROUNDUP(SUM($E98:F98),0)&lt;$E$15,$E$15*$B$95,0))</f>
        <v>0</v>
      </c>
      <c r="H98" s="435">
        <f>+IF(G98=0,0,+IF(ROUNDUP(SUM($E98:G98),0)&lt;$E$15,$E$15*$B$95,0))</f>
        <v>0</v>
      </c>
    </row>
    <row r="99" spans="1:8" ht="9.75" hidden="1">
      <c r="A99" s="433">
        <f t="shared" si="21"/>
        <v>2020</v>
      </c>
      <c r="B99" s="434"/>
      <c r="C99" s="435"/>
      <c r="D99" s="435"/>
      <c r="E99" s="435"/>
      <c r="F99" s="435">
        <f>+IF(F$15&lt;0,0,F$15*$B$95)</f>
        <v>0</v>
      </c>
      <c r="G99" s="435">
        <f>+IF(F99=0,0,+IF(ROUNDUP(SUM($F99:F99),0)&lt;$F$15,$F$15*$B$95,0))</f>
        <v>0</v>
      </c>
      <c r="H99" s="435">
        <f>+IF(G99=0,0,+IF(ROUNDUP(SUM($F99:G99),0)&lt;$F$15,$F$15*$B$95,0))</f>
        <v>0</v>
      </c>
    </row>
    <row r="100" spans="1:8" ht="9.75" hidden="1">
      <c r="A100" s="433">
        <f t="shared" si="21"/>
        <v>2021</v>
      </c>
      <c r="B100" s="434"/>
      <c r="C100" s="435"/>
      <c r="D100" s="435"/>
      <c r="E100" s="435"/>
      <c r="F100" s="435"/>
      <c r="G100" s="435">
        <f>+IF(G$15&lt;0,0,G$15*$B$95)</f>
        <v>0</v>
      </c>
      <c r="H100" s="435">
        <f>+IF(G100=0,0,+IF(ROUNDUP(SUM($G100:G100),0)&lt;$G$15,$G$15*$B$95,0))</f>
        <v>0</v>
      </c>
    </row>
    <row r="101" spans="1:8" ht="9.75" hidden="1">
      <c r="A101" s="433">
        <f t="shared" si="21"/>
        <v>2022</v>
      </c>
      <c r="B101" s="434"/>
      <c r="C101" s="435"/>
      <c r="D101" s="435"/>
      <c r="E101" s="435"/>
      <c r="F101" s="435"/>
      <c r="G101" s="435"/>
      <c r="H101" s="435">
        <f>+IF(H$15&lt;0,0,H$15*$B$95)</f>
        <v>0</v>
      </c>
    </row>
    <row r="102" spans="1:8" ht="9.75" hidden="1">
      <c r="A102" s="436" t="s">
        <v>358</v>
      </c>
      <c r="B102" s="434">
        <f>+C64</f>
        <v>0.125</v>
      </c>
      <c r="C102" s="435">
        <f aca="true" t="shared" si="22" ref="C102:H102">SUM(C103:C108)</f>
        <v>0</v>
      </c>
      <c r="D102" s="435">
        <f t="shared" si="22"/>
        <v>0</v>
      </c>
      <c r="E102" s="435">
        <f t="shared" si="22"/>
        <v>0</v>
      </c>
      <c r="F102" s="435">
        <f t="shared" si="22"/>
        <v>0</v>
      </c>
      <c r="G102" s="435">
        <f t="shared" si="22"/>
        <v>0</v>
      </c>
      <c r="H102" s="435">
        <f t="shared" si="22"/>
        <v>0</v>
      </c>
    </row>
    <row r="103" spans="1:8" ht="9.75" hidden="1">
      <c r="A103" s="433">
        <f aca="true" t="shared" si="23" ref="A103:A136">A96</f>
        <v>2017</v>
      </c>
      <c r="B103" s="434"/>
      <c r="C103" s="435">
        <f>+IF(C$16&lt;0,0,C$16*$B$102)/12*C75</f>
        <v>0</v>
      </c>
      <c r="D103" s="477">
        <f>+IF($C$16=0,0,+IF(ROUNDUP(SUM($C103:C103),0)&lt;$C$16,$C$16*$B$102,0))</f>
        <v>0</v>
      </c>
      <c r="E103" s="435">
        <f>+IF(D103=0,0,+IF(ROUNDUP(SUM($C103:D103),0)&lt;$C$16,$C$16*$B$102,0))</f>
        <v>0</v>
      </c>
      <c r="F103" s="441">
        <f>+IF(E103=0,0,+IF(ROUNDUP(SUM($C103:E103),0)&lt;$C16,MIN(($C16-SUM($C103:E103)),+$C16*$B$102),0))</f>
        <v>0</v>
      </c>
      <c r="G103" s="435">
        <f>+IF(F103=0,0,+IF(ROUNDUP(SUM($C103:F103),0)&lt;$C16,MIN(($C16-SUM($C103:F103)),+$C16*$B$102),0))</f>
        <v>0</v>
      </c>
      <c r="H103" s="435">
        <f>+IF(G103=0,0,+IF(ROUNDUP(SUM($C103:G103),0)&lt;$C16,MIN(($C16-SUM($C103:G103)),+$C16*$B$102),0))</f>
        <v>0</v>
      </c>
    </row>
    <row r="104" spans="1:8" ht="9.75" hidden="1">
      <c r="A104" s="433">
        <f t="shared" si="23"/>
        <v>2018</v>
      </c>
      <c r="B104" s="434"/>
      <c r="C104" s="435"/>
      <c r="D104" s="435">
        <f>+IF(D$16&lt;0,0,D$16*$B$102)</f>
        <v>0</v>
      </c>
      <c r="E104" s="435">
        <f>+IF(D104=0,0,+IF(ROUNDUP(SUM($D104:D104),0)&lt;$D$16,$D$16*$B$102,0))</f>
        <v>0</v>
      </c>
      <c r="F104" s="435">
        <f>+IF(E104=0,0,+IF(ROUNDUP(SUM($D104:E104),0)&lt;$D$16,$D$16*$B$102,0))</f>
        <v>0</v>
      </c>
      <c r="G104" s="435">
        <f>+IF(F104=0,0,+IF(ROUNDUP(SUM($D104:F104),0)&lt;$D$16,$D$16*$B$102,0))</f>
        <v>0</v>
      </c>
      <c r="H104" s="435">
        <f>+IF(G104=0,0,+IF(ROUNDUP(SUM($D104:G104),0)&lt;$D$16,$D$16*$B$102,0))</f>
        <v>0</v>
      </c>
    </row>
    <row r="105" spans="1:8" ht="9.75" hidden="1">
      <c r="A105" s="433">
        <f t="shared" si="23"/>
        <v>2019</v>
      </c>
      <c r="B105" s="434"/>
      <c r="C105" s="435"/>
      <c r="D105" s="435"/>
      <c r="E105" s="435">
        <f>+IF(E$16&lt;0,0,E$16*$B$102)</f>
        <v>0</v>
      </c>
      <c r="F105" s="435">
        <f>+IF(E105=0,0,+IF(ROUNDUP(SUM($E105:E105),0)&lt;$E$16,$E$16*$B$102,0))</f>
        <v>0</v>
      </c>
      <c r="G105" s="435">
        <f>+IF(F105=0,0,+IF(ROUNDUP(SUM($E105:F105),0)&lt;$E$16,$E$16*$B$102,0))</f>
        <v>0</v>
      </c>
      <c r="H105" s="435">
        <f>+IF(G105=0,0,+IF(ROUNDUP(SUM($E105:G105),0)&lt;$E$16,$E$16*$B$102,0))</f>
        <v>0</v>
      </c>
    </row>
    <row r="106" spans="1:8" ht="9.75" hidden="1">
      <c r="A106" s="433">
        <f t="shared" si="23"/>
        <v>2020</v>
      </c>
      <c r="B106" s="434"/>
      <c r="C106" s="435"/>
      <c r="D106" s="435"/>
      <c r="E106" s="435"/>
      <c r="F106" s="435">
        <f>+IF(F$16&lt;0,0,F$16*$B$102)</f>
        <v>0</v>
      </c>
      <c r="G106" s="435">
        <f>+IF(F106=0,0,+IF(ROUNDUP(SUM($F106:F106),0)&lt;$F$16,$F$16*$B$102,0))</f>
        <v>0</v>
      </c>
      <c r="H106" s="435">
        <f>+IF(G106=0,0,+IF(ROUNDUP(SUM($F106:G106),0)&lt;$F$16,$F$16*$B$102,0))</f>
        <v>0</v>
      </c>
    </row>
    <row r="107" spans="1:8" ht="9.75" hidden="1">
      <c r="A107" s="433">
        <f t="shared" si="23"/>
        <v>2021</v>
      </c>
      <c r="B107" s="434"/>
      <c r="C107" s="435"/>
      <c r="D107" s="435"/>
      <c r="E107" s="435"/>
      <c r="F107" s="435"/>
      <c r="G107" s="435">
        <f>+IF(G$16&lt;0,0,G$16*$B$102)</f>
        <v>0</v>
      </c>
      <c r="H107" s="435">
        <f>+IF(G107=0,0,+IF(ROUNDUP(SUM($G107:G107),0)&lt;$G$16,$G$16*$B$102,0))</f>
        <v>0</v>
      </c>
    </row>
    <row r="108" spans="1:8" ht="9.75" hidden="1">
      <c r="A108" s="433">
        <f t="shared" si="23"/>
        <v>2022</v>
      </c>
      <c r="B108" s="434"/>
      <c r="C108" s="435"/>
      <c r="D108" s="435"/>
      <c r="E108" s="435"/>
      <c r="F108" s="435"/>
      <c r="G108" s="435"/>
      <c r="H108" s="435">
        <f>+IF(H$16&lt;0,0,H$16*$B$102)</f>
        <v>0</v>
      </c>
    </row>
    <row r="109" spans="1:8" ht="9.75" hidden="1">
      <c r="A109" s="436" t="s">
        <v>359</v>
      </c>
      <c r="B109" s="434">
        <f>+C65</f>
        <v>0.25</v>
      </c>
      <c r="C109" s="435">
        <f aca="true" t="shared" si="24" ref="C109:H109">SUM(C110:C115)</f>
        <v>20000</v>
      </c>
      <c r="D109" s="435">
        <f t="shared" si="24"/>
        <v>20000</v>
      </c>
      <c r="E109" s="435">
        <f t="shared" si="24"/>
        <v>20000</v>
      </c>
      <c r="F109" s="435">
        <f t="shared" si="24"/>
        <v>20000</v>
      </c>
      <c r="G109" s="435">
        <f t="shared" si="24"/>
        <v>0</v>
      </c>
      <c r="H109" s="435">
        <f t="shared" si="24"/>
        <v>0</v>
      </c>
    </row>
    <row r="110" spans="1:8" ht="9.75" hidden="1">
      <c r="A110" s="433">
        <f t="shared" si="23"/>
        <v>2017</v>
      </c>
      <c r="B110" s="434"/>
      <c r="C110" s="435">
        <f>+IF(C$17&lt;0,0,C$17*$B$109)/12*C75</f>
        <v>20000</v>
      </c>
      <c r="D110" s="477">
        <f>+IF(C17=0,0,+IF(ROUNDUP(SUM($C110:C110),0)&lt;$C$17,$C$17*$B$109,0))</f>
        <v>20000</v>
      </c>
      <c r="E110" s="435">
        <f>+IF(D110=0,0,+IF(ROUNDUP(SUM($C110:D110),0)&lt;$C$17,$C$17*$B$109,0))</f>
        <v>20000</v>
      </c>
      <c r="F110" s="441">
        <f>+IF(E110=0,0,+IF(ROUNDUP(SUM($C110:E110),0)&lt;$C17,MIN(($C17-SUM($C110:E110)),+$C17*$B$109),0))</f>
        <v>20000</v>
      </c>
      <c r="G110" s="435">
        <f>+IF(F110=0,0,+IF(ROUNDUP(SUM($C110:F110),0)&lt;$C17,MIN(($C17-SUM($C110:F110)),+$C17*$B$109),0))</f>
        <v>0</v>
      </c>
      <c r="H110" s="435">
        <f>+IF(G110=0,0,+IF(ROUNDUP(SUM($C110:G110),0)&lt;$C17,MIN(($C17-SUM($C110:G110)),+$C17*$B$109),0))</f>
        <v>0</v>
      </c>
    </row>
    <row r="111" spans="1:8" ht="9.75" hidden="1">
      <c r="A111" s="433">
        <f t="shared" si="23"/>
        <v>2018</v>
      </c>
      <c r="B111" s="434"/>
      <c r="C111" s="435"/>
      <c r="D111" s="435">
        <f>+IF(D$17&lt;0,0,D$17*$B$109)</f>
        <v>0</v>
      </c>
      <c r="E111" s="435">
        <f>+IF(D111=0,0,+IF(ROUNDUP(SUM($D111:D111),0)&lt;$D$17,$D$17*$B$109,0))</f>
        <v>0</v>
      </c>
      <c r="F111" s="435">
        <f>+IF(E111=0,0,+IF(ROUNDUP(SUM($D111:E111),0)&lt;$D$17,$D$17*$B$109,0))</f>
        <v>0</v>
      </c>
      <c r="G111" s="435">
        <f>+IF(F111=0,0,+IF(ROUNDUP(SUM($D111:F111),0)&lt;$D$17,$D$17*$B$109,0))</f>
        <v>0</v>
      </c>
      <c r="H111" s="435">
        <f>+IF(G111=0,0,+IF(ROUNDUP(SUM($D111:G111),0)&lt;$D$17,$D$17*$B$109,0))</f>
        <v>0</v>
      </c>
    </row>
    <row r="112" spans="1:8" ht="9.75" hidden="1">
      <c r="A112" s="433">
        <f t="shared" si="23"/>
        <v>2019</v>
      </c>
      <c r="B112" s="434"/>
      <c r="C112" s="435"/>
      <c r="D112" s="435"/>
      <c r="E112" s="435">
        <f>+IF(E$17&lt;0,0,E$17*$B$109)</f>
        <v>0</v>
      </c>
      <c r="F112" s="435">
        <f>+IF(E112=0,0,+IF(ROUNDUP(SUM($E112:E112),0)&lt;$E$17,$E$17*$B$109,0))</f>
        <v>0</v>
      </c>
      <c r="G112" s="435">
        <f>+IF(F112=0,0,+IF(ROUNDUP(SUM($E112:F112),0)&lt;$E$17,$E$17*$B$109,0))</f>
        <v>0</v>
      </c>
      <c r="H112" s="435">
        <f>+IF(G112=0,0,+IF(ROUNDUP(SUM($E112:G112),0)&lt;$E$17,$E$17*$B$109,0))</f>
        <v>0</v>
      </c>
    </row>
    <row r="113" spans="1:8" ht="9.75" hidden="1">
      <c r="A113" s="433">
        <f t="shared" si="23"/>
        <v>2020</v>
      </c>
      <c r="B113" s="434"/>
      <c r="C113" s="435"/>
      <c r="D113" s="435"/>
      <c r="E113" s="435"/>
      <c r="F113" s="435">
        <f>+IF(F$17&lt;0,0,F$17*$B$109)</f>
        <v>0</v>
      </c>
      <c r="G113" s="435">
        <f>+IF(F113=0,0,+IF(ROUNDUP(SUM($F113:F113),0)&lt;$F$17,$F$17*$B$109,0))</f>
        <v>0</v>
      </c>
      <c r="H113" s="435">
        <f>+IF(G113=0,0,+IF(ROUNDUP(SUM($F113:G113),0)&lt;$F$17,$F$17*$B$109,0))</f>
        <v>0</v>
      </c>
    </row>
    <row r="114" spans="1:8" ht="9.75" hidden="1">
      <c r="A114" s="433">
        <f t="shared" si="23"/>
        <v>2021</v>
      </c>
      <c r="B114" s="434"/>
      <c r="C114" s="435"/>
      <c r="D114" s="435"/>
      <c r="E114" s="435"/>
      <c r="F114" s="435"/>
      <c r="G114" s="435">
        <f>+IF(G$17&lt;0,0,G$17*$B$109)</f>
        <v>0</v>
      </c>
      <c r="H114" s="435">
        <f>+IF(G114=0,0,+IF(ROUNDUP(SUM($G114:G114),0)&lt;$G$17,$G$17*$B$109,0))</f>
        <v>0</v>
      </c>
    </row>
    <row r="115" spans="1:8" ht="9.75" hidden="1">
      <c r="A115" s="433">
        <f t="shared" si="23"/>
        <v>2022</v>
      </c>
      <c r="B115" s="434"/>
      <c r="C115" s="435"/>
      <c r="D115" s="435"/>
      <c r="E115" s="435"/>
      <c r="F115" s="435"/>
      <c r="G115" s="435"/>
      <c r="H115" s="435">
        <f>+IF(H$17&lt;0,0,H$17*$B$109)</f>
        <v>0</v>
      </c>
    </row>
    <row r="116" spans="1:8" ht="9.75" hidden="1">
      <c r="A116" s="436" t="s">
        <v>360</v>
      </c>
      <c r="B116" s="434">
        <f>+C66</f>
        <v>0.2</v>
      </c>
      <c r="C116" s="435">
        <f aca="true" t="shared" si="25" ref="C116:H116">SUM(C117:C122)</f>
        <v>0</v>
      </c>
      <c r="D116" s="435">
        <f t="shared" si="25"/>
        <v>0</v>
      </c>
      <c r="E116" s="435">
        <f t="shared" si="25"/>
        <v>0</v>
      </c>
      <c r="F116" s="435">
        <f t="shared" si="25"/>
        <v>0</v>
      </c>
      <c r="G116" s="435">
        <f t="shared" si="25"/>
        <v>0</v>
      </c>
      <c r="H116" s="435">
        <f t="shared" si="25"/>
        <v>0</v>
      </c>
    </row>
    <row r="117" spans="1:8" ht="9.75" hidden="1">
      <c r="A117" s="433">
        <f t="shared" si="23"/>
        <v>2017</v>
      </c>
      <c r="B117" s="434"/>
      <c r="C117" s="435">
        <f>+IF(C$18&lt;0,0,C$18*$B$116)/12*C75</f>
        <v>0</v>
      </c>
      <c r="D117" s="477">
        <f>+IF(C18=0,0,+IF(ROUNDUP(SUM($C117:C117),0)&lt;$C$18,$C$18*$B$116,0))</f>
        <v>0</v>
      </c>
      <c r="E117" s="435">
        <f>+IF(D117=0,0,+IF(ROUNDUP(SUM($C117:D117),0)&lt;$C$18,$C$18*$B$116,0))</f>
        <v>0</v>
      </c>
      <c r="F117" s="441">
        <f>+IF(E117=0,0,+IF(ROUNDUP(SUM($C117:E117),0)&lt;$C18,MIN(($C18-SUM($C117:E117)),+$C18*$B$116),0))</f>
        <v>0</v>
      </c>
      <c r="G117" s="435">
        <f>+IF(F117=0,0,+IF(ROUNDUP(SUM($C117:F117),0)&lt;$C18,MIN(($C18-SUM($C117:F117)),+$C18*$B$116),0))</f>
        <v>0</v>
      </c>
      <c r="H117" s="435">
        <f>+IF(G117=0,0,+IF(ROUNDUP(SUM($C117:G117),0)&lt;$C18,MIN(($C18-SUM($C117:G117)),+$C18*$B$116),0))</f>
        <v>0</v>
      </c>
    </row>
    <row r="118" spans="1:8" ht="9.75" hidden="1">
      <c r="A118" s="433">
        <f t="shared" si="23"/>
        <v>2018</v>
      </c>
      <c r="B118" s="434"/>
      <c r="C118" s="435"/>
      <c r="D118" s="435">
        <f>+IF(D$18&lt;0,0,D$18*$B$116)</f>
        <v>0</v>
      </c>
      <c r="E118" s="435">
        <f>+IF(D118=0,0,+IF(ROUNDUP(SUM($D118:D118),0)&lt;$D$18,$D$18*$B$116,0))</f>
        <v>0</v>
      </c>
      <c r="F118" s="435">
        <f>+IF(E118=0,0,+IF(ROUNDUP(SUM($D118:E118),0)&lt;$D$18,$D$18*$B$116,0))</f>
        <v>0</v>
      </c>
      <c r="G118" s="435">
        <f>+IF(F118=0,0,+IF(ROUNDUP(SUM($D118:F118),0)&lt;$D$18,$D$18*$B$116,0))</f>
        <v>0</v>
      </c>
      <c r="H118" s="435">
        <f>+IF(G118=0,0,+IF(ROUNDUP(SUM($D118:G118),0)&lt;$D$18,$D$18*$B$116,0))</f>
        <v>0</v>
      </c>
    </row>
    <row r="119" spans="1:8" ht="9.75" hidden="1">
      <c r="A119" s="433">
        <f t="shared" si="23"/>
        <v>2019</v>
      </c>
      <c r="B119" s="434"/>
      <c r="C119" s="435"/>
      <c r="D119" s="435"/>
      <c r="E119" s="435">
        <f>+IF(E$18&lt;0,0,E$18*$B$116)</f>
        <v>0</v>
      </c>
      <c r="F119" s="435">
        <f>+IF(E119=0,0,+IF(ROUNDUP(SUM($E119:E119),0)&lt;$E$18,$E$18*$B$116,0))</f>
        <v>0</v>
      </c>
      <c r="G119" s="435">
        <f>+IF(F119=0,0,+IF(ROUNDUP(SUM($E119:F119),0)&lt;$E$18,$E$18*$B$116,0))</f>
        <v>0</v>
      </c>
      <c r="H119" s="435">
        <f>+IF(G119=0,0,+IF(ROUNDUP(SUM($E119:G119),0)&lt;$E$18,$E$18*$B$116,0))</f>
        <v>0</v>
      </c>
    </row>
    <row r="120" spans="1:8" ht="9.75" hidden="1">
      <c r="A120" s="433">
        <f t="shared" si="23"/>
        <v>2020</v>
      </c>
      <c r="B120" s="434"/>
      <c r="C120" s="435"/>
      <c r="D120" s="435"/>
      <c r="E120" s="435"/>
      <c r="F120" s="435">
        <f>+IF(F$18&lt;0,0,F$18*$B$116)</f>
        <v>0</v>
      </c>
      <c r="G120" s="435">
        <f>+IF(F120=0,0,+IF(ROUNDUP(SUM($F120:F120),0)&lt;$F$18,$F$18*$B$116,0))</f>
        <v>0</v>
      </c>
      <c r="H120" s="435">
        <f>+IF(G120=0,0,+IF(ROUNDUP(SUM($F120:G120),0)&lt;$F$18,$F$18*$B$116,0))</f>
        <v>0</v>
      </c>
    </row>
    <row r="121" spans="1:8" ht="9.75" hidden="1">
      <c r="A121" s="433">
        <f t="shared" si="23"/>
        <v>2021</v>
      </c>
      <c r="B121" s="434"/>
      <c r="C121" s="435"/>
      <c r="D121" s="435"/>
      <c r="E121" s="435"/>
      <c r="F121" s="435"/>
      <c r="G121" s="435">
        <f>+IF(G$18&lt;0,0,G$18*$B$116)</f>
        <v>0</v>
      </c>
      <c r="H121" s="435">
        <f>+IF(G121=0,0,+IF(ROUNDUP(SUM($G121:G121),0)&lt;$G$18,$G$18*$B$116,0))</f>
        <v>0</v>
      </c>
    </row>
    <row r="122" spans="1:8" ht="9.75" hidden="1">
      <c r="A122" s="433">
        <f t="shared" si="23"/>
        <v>2022</v>
      </c>
      <c r="B122" s="434"/>
      <c r="C122" s="435"/>
      <c r="D122" s="435"/>
      <c r="E122" s="435"/>
      <c r="F122" s="435"/>
      <c r="G122" s="435"/>
      <c r="H122" s="435">
        <f>+IF(H$18&lt;0,0,H$18*$B$116)</f>
        <v>0</v>
      </c>
    </row>
    <row r="123" spans="1:8" ht="9.75" hidden="1">
      <c r="A123" s="436" t="s">
        <v>361</v>
      </c>
      <c r="B123" s="434">
        <f>+C67</f>
        <v>0.2</v>
      </c>
      <c r="C123" s="435">
        <f aca="true" t="shared" si="26" ref="C123:H123">SUM(C124:C129)</f>
        <v>0</v>
      </c>
      <c r="D123" s="435">
        <f t="shared" si="26"/>
        <v>0</v>
      </c>
      <c r="E123" s="435">
        <f t="shared" si="26"/>
        <v>0</v>
      </c>
      <c r="F123" s="435">
        <f t="shared" si="26"/>
        <v>0</v>
      </c>
      <c r="G123" s="435">
        <f t="shared" si="26"/>
        <v>0</v>
      </c>
      <c r="H123" s="435">
        <f t="shared" si="26"/>
        <v>0</v>
      </c>
    </row>
    <row r="124" spans="1:8" ht="9.75" hidden="1">
      <c r="A124" s="433">
        <f t="shared" si="23"/>
        <v>2017</v>
      </c>
      <c r="B124" s="434"/>
      <c r="C124" s="435">
        <f>+IF(C$19&lt;0,0,C$19*$B$123)/12*C75</f>
        <v>0</v>
      </c>
      <c r="D124" s="477">
        <f>+IF(C119=0,0,+IF(ROUNDUP(SUM($C124:C124),0)&lt;$C$19,$C$19*$B$123,0))</f>
        <v>0</v>
      </c>
      <c r="E124" s="435">
        <f>+IF(D124=0,0,+IF(ROUNDUP(SUM($C124:D124),0)&lt;$C$19,$C$19*$B$123,0))</f>
        <v>0</v>
      </c>
      <c r="F124" s="441">
        <f>+IF(E124=0,0,+IF(ROUNDUP(SUM($C124:E124),0)&lt;$C18,MIN(($C18-SUM($C124:E124)),+$C18*$B$123),0))</f>
        <v>0</v>
      </c>
      <c r="G124" s="435">
        <f>+IF(F124=0,0,+IF(ROUNDUP(SUM($C124:F124),0)&lt;$C18,MIN(($C18-SUM($C124:F124)),+$C18*$B$123),0))</f>
        <v>0</v>
      </c>
      <c r="H124" s="435">
        <f>+IF(G124=0,0,+IF(ROUNDUP(SUM($C124:G124),0)&lt;$C18,MIN(($C18-SUM($C124:G124)),+$C18*$B$123),0))</f>
        <v>0</v>
      </c>
    </row>
    <row r="125" spans="1:8" ht="9.75" hidden="1">
      <c r="A125" s="433">
        <f t="shared" si="23"/>
        <v>2018</v>
      </c>
      <c r="B125" s="434"/>
      <c r="C125" s="435"/>
      <c r="D125" s="435">
        <f>+IF(D$19&lt;0,0,D$19*$B$123)</f>
        <v>0</v>
      </c>
      <c r="E125" s="435">
        <f>+IF(D125=0,0,+IF(ROUNDUP(SUM($D125:D125),0)&lt;$D$19,$D$19*$B$123,0))</f>
        <v>0</v>
      </c>
      <c r="F125" s="435">
        <f>+IF(E125=0,0,+IF(ROUNDUP(SUM($D125:E125),0)&lt;$D$19,$D$19*$B$123,0))</f>
        <v>0</v>
      </c>
      <c r="G125" s="435">
        <f>+IF(F125=0,0,+IF(ROUNDUP(SUM($D125:F125),0)&lt;$D$19,$D$19*$B$123,0))</f>
        <v>0</v>
      </c>
      <c r="H125" s="435">
        <f>+IF(G125=0,0,+IF(ROUNDUP(SUM($D125:G125),0)&lt;$D$19,$D$19*$B$123,0))</f>
        <v>0</v>
      </c>
    </row>
    <row r="126" spans="1:8" ht="9.75" hidden="1">
      <c r="A126" s="433">
        <f t="shared" si="23"/>
        <v>2019</v>
      </c>
      <c r="B126" s="434"/>
      <c r="C126" s="435"/>
      <c r="D126" s="435"/>
      <c r="E126" s="435">
        <f>+IF(E$19&lt;0,0,E$19*$B$123)</f>
        <v>0</v>
      </c>
      <c r="F126" s="435">
        <f>+IF(E126=0,0,+IF(ROUNDUP(SUM($E126:E126),0)&lt;$E$19,$E$19*$B$123,0))</f>
        <v>0</v>
      </c>
      <c r="G126" s="435">
        <f>+IF(F126=0,0,+IF(ROUNDUP(SUM($E126:F126),0)&lt;$E$19,$E$19*$B$123,0))</f>
        <v>0</v>
      </c>
      <c r="H126" s="435">
        <f>+IF(G126=0,0,+IF(ROUNDUP(SUM($E126:G126),0)&lt;$E$19,$E$19*$B$123,0))</f>
        <v>0</v>
      </c>
    </row>
    <row r="127" spans="1:8" ht="9.75" hidden="1">
      <c r="A127" s="433">
        <f t="shared" si="23"/>
        <v>2020</v>
      </c>
      <c r="B127" s="434"/>
      <c r="C127" s="435"/>
      <c r="D127" s="435"/>
      <c r="E127" s="435"/>
      <c r="F127" s="435">
        <f>+IF(F$19&lt;0,0,F$19*$B$123)</f>
        <v>0</v>
      </c>
      <c r="G127" s="435">
        <f>+IF(F127=0,0,+IF(ROUNDUP(SUM($F127:F127),0)&lt;$F$19,$F$19*$B$123,0))</f>
        <v>0</v>
      </c>
      <c r="H127" s="435">
        <f>+IF(G127=0,0,+IF(ROUNDUP(SUM($F127:G127),0)&lt;$F$19,$F$19*$B$123,0))</f>
        <v>0</v>
      </c>
    </row>
    <row r="128" spans="1:8" ht="9.75" hidden="1">
      <c r="A128" s="433">
        <f t="shared" si="23"/>
        <v>2021</v>
      </c>
      <c r="B128" s="434"/>
      <c r="C128" s="435"/>
      <c r="D128" s="435"/>
      <c r="E128" s="435"/>
      <c r="F128" s="435"/>
      <c r="G128" s="435">
        <f>+IF(G$19&lt;0,0,G$19*$B$123)</f>
        <v>0</v>
      </c>
      <c r="H128" s="435">
        <f>+IF(G128=0,0,+IF(ROUNDUP(SUM($G128:G128),0)&lt;$G$19,$G$19*$B$123,0))</f>
        <v>0</v>
      </c>
    </row>
    <row r="129" spans="1:8" ht="9.75" hidden="1">
      <c r="A129" s="433">
        <f t="shared" si="23"/>
        <v>2022</v>
      </c>
      <c r="B129" s="434"/>
      <c r="C129" s="435"/>
      <c r="D129" s="435"/>
      <c r="E129" s="435"/>
      <c r="F129" s="435"/>
      <c r="G129" s="435"/>
      <c r="H129" s="435">
        <f>+IF(H$19&lt;0,0,H$19*$B$123)</f>
        <v>0</v>
      </c>
    </row>
    <row r="130" spans="1:8" ht="9.75" hidden="1">
      <c r="A130" s="436" t="s">
        <v>357</v>
      </c>
      <c r="B130" s="434">
        <f>+C68</f>
        <v>0.2</v>
      </c>
      <c r="C130" s="435">
        <f aca="true" t="shared" si="27" ref="C130:H130">SUM(C131:C136)</f>
        <v>0</v>
      </c>
      <c r="D130" s="435">
        <f t="shared" si="27"/>
        <v>0</v>
      </c>
      <c r="E130" s="435">
        <f t="shared" si="27"/>
        <v>0</v>
      </c>
      <c r="F130" s="435">
        <f t="shared" si="27"/>
        <v>0</v>
      </c>
      <c r="G130" s="435">
        <f t="shared" si="27"/>
        <v>0</v>
      </c>
      <c r="H130" s="435">
        <f t="shared" si="27"/>
        <v>0</v>
      </c>
    </row>
    <row r="131" spans="1:8" ht="9.75" hidden="1">
      <c r="A131" s="433">
        <f t="shared" si="23"/>
        <v>2017</v>
      </c>
      <c r="B131" s="434"/>
      <c r="C131" s="435">
        <f>+IF(C$20&lt;0,0,C$20*$B$130)/12*$C$75</f>
        <v>0</v>
      </c>
      <c r="D131" s="477">
        <f>+IF(C20=0,0,+IF(ROUNDUP(SUM($C131:C131),0)&lt;$C$20,$C$20*$B$130,0))</f>
        <v>0</v>
      </c>
      <c r="E131" s="435">
        <f>+IF(D131=0,0,+IF(ROUNDUP(SUM($C131:D131),0)&lt;$C$20,$C$20*$B$130,0))</f>
        <v>0</v>
      </c>
      <c r="F131" s="441">
        <f>+IF(E131=0,0,+IF(ROUNDUP(SUM($C131:E131),0)&lt;$C20,MIN(($C20-SUM($C131:E131)),+$C20*$B$130),0))</f>
        <v>0</v>
      </c>
      <c r="G131" s="435">
        <f>+IF(F131=0,0,+IF(ROUNDUP(SUM($C131:F131),0)&lt;$C20,MIN(($C20-SUM($C131:F131)),+$C20*$B$130),0))</f>
        <v>0</v>
      </c>
      <c r="H131" s="435">
        <f>+IF(G131=0,0,+IF(ROUNDUP(SUM($C131:G131),0)&lt;$C20,MIN(($C20-SUM($C131:G131)),+$C20*$B$130),0))</f>
        <v>0</v>
      </c>
    </row>
    <row r="132" spans="1:8" ht="9.75" hidden="1">
      <c r="A132" s="433">
        <f t="shared" si="23"/>
        <v>2018</v>
      </c>
      <c r="B132" s="434"/>
      <c r="C132" s="435"/>
      <c r="D132" s="435">
        <f>+IF(D$20&lt;0,0,D$20*$B$130)</f>
        <v>0</v>
      </c>
      <c r="E132" s="435">
        <f>+IF(D132=0,0,+IF(ROUNDUP(SUM($D132:D132),0)&lt;$D$20,$D$20*$B$130,0))</f>
        <v>0</v>
      </c>
      <c r="F132" s="435">
        <f>+IF(E132=0,0,+IF(ROUNDUP(SUM($D132:E132),0)&lt;$D$20,$D$20*$B$130,0))</f>
        <v>0</v>
      </c>
      <c r="G132" s="435">
        <f>+IF(F132=0,0,+IF(ROUNDUP(SUM($D132:F132),0)&lt;$D$20,$D$20*$B$130,0))</f>
        <v>0</v>
      </c>
      <c r="H132" s="435">
        <f>+IF(G132=0,0,+IF(ROUNDUP(SUM($D132:G132),0)&lt;$D$20,$D$20*$B$130,0))</f>
        <v>0</v>
      </c>
    </row>
    <row r="133" spans="1:8" ht="9.75" hidden="1">
      <c r="A133" s="433">
        <f t="shared" si="23"/>
        <v>2019</v>
      </c>
      <c r="B133" s="434"/>
      <c r="C133" s="435"/>
      <c r="D133" s="435"/>
      <c r="E133" s="435">
        <f>+IF(E$20&lt;0,0,E$20*$B$130)</f>
        <v>0</v>
      </c>
      <c r="F133" s="435">
        <f>+IF(E133=0,0,+IF(ROUNDUP(SUM($E133:E133),0)&lt;$E$20,$E$20*$B$130,0))</f>
        <v>0</v>
      </c>
      <c r="G133" s="435">
        <f>+IF(F133=0,0,+IF(ROUNDUP(SUM($E133:F133),0)&lt;$E$20,$E$20*$B$130,0))</f>
        <v>0</v>
      </c>
      <c r="H133" s="435">
        <f>+IF(G133=0,0,+IF(ROUNDUP(SUM($E133:G133),0)&lt;$E$20,$E$20*$B$130,0))</f>
        <v>0</v>
      </c>
    </row>
    <row r="134" spans="1:8" ht="9.75" hidden="1">
      <c r="A134" s="433">
        <f t="shared" si="23"/>
        <v>2020</v>
      </c>
      <c r="B134" s="434"/>
      <c r="C134" s="435"/>
      <c r="D134" s="435"/>
      <c r="E134" s="435"/>
      <c r="F134" s="435">
        <f>+IF(F$20&lt;0,0,F$20*$B$130)</f>
        <v>0</v>
      </c>
      <c r="G134" s="435">
        <f>+IF(F134=0,0,+IF(ROUNDUP(SUM($F134:F134),0)&lt;$F$20,$F$20*$B$130,0))</f>
        <v>0</v>
      </c>
      <c r="H134" s="435">
        <f>+IF(G134=0,0,+IF(ROUNDUP(SUM($F134:G134),0)&lt;$F$20,$F$20*$B$130,0))</f>
        <v>0</v>
      </c>
    </row>
    <row r="135" spans="1:8" ht="9.75" hidden="1">
      <c r="A135" s="433">
        <f t="shared" si="23"/>
        <v>2021</v>
      </c>
      <c r="B135" s="434"/>
      <c r="C135" s="435"/>
      <c r="D135" s="435"/>
      <c r="E135" s="435"/>
      <c r="F135" s="435"/>
      <c r="G135" s="435">
        <f>+IF(G$20&lt;0,0,G$20*$B$130)</f>
        <v>0</v>
      </c>
      <c r="H135" s="435">
        <f>+IF(G135=0,0,+IF(ROUNDUP(SUM($G135:G135),0)&lt;$G$20,$G$20*$B$130,0))</f>
        <v>0</v>
      </c>
    </row>
    <row r="136" spans="1:8" ht="9.75" hidden="1">
      <c r="A136" s="433">
        <f t="shared" si="23"/>
        <v>2022</v>
      </c>
      <c r="B136" s="434"/>
      <c r="C136" s="435"/>
      <c r="D136" s="435"/>
      <c r="E136" s="435"/>
      <c r="F136" s="435"/>
      <c r="G136" s="435"/>
      <c r="H136" s="435">
        <f>+IF(H$20&lt;0,0,H$20*$B$130)</f>
        <v>0</v>
      </c>
    </row>
    <row r="137" spans="1:8" ht="9.75" hidden="1">
      <c r="A137" s="541" t="s">
        <v>46</v>
      </c>
      <c r="B137" s="541"/>
      <c r="C137" s="437">
        <f aca="true" t="shared" si="28" ref="C137:H137">+C95+C102+C109+C116+C123+C130</f>
        <v>20000</v>
      </c>
      <c r="D137" s="437">
        <f t="shared" si="28"/>
        <v>20000</v>
      </c>
      <c r="E137" s="437">
        <f t="shared" si="28"/>
        <v>20000</v>
      </c>
      <c r="F137" s="437">
        <f t="shared" si="28"/>
        <v>20000</v>
      </c>
      <c r="G137" s="437">
        <f t="shared" si="28"/>
        <v>0</v>
      </c>
      <c r="H137" s="437">
        <f t="shared" si="28"/>
        <v>0</v>
      </c>
    </row>
    <row r="138" spans="1:8" ht="9.75" hidden="1">
      <c r="A138" s="438" t="s">
        <v>311</v>
      </c>
      <c r="B138" s="436"/>
      <c r="C138" s="439"/>
      <c r="D138" s="439"/>
      <c r="E138" s="439"/>
      <c r="F138" s="439"/>
      <c r="G138" s="439"/>
      <c r="H138" s="439"/>
    </row>
    <row r="139" spans="1:8" ht="9.75" hidden="1">
      <c r="A139" s="436" t="s">
        <v>321</v>
      </c>
      <c r="B139" s="434">
        <f>+C70</f>
        <v>0.33333</v>
      </c>
      <c r="C139" s="435">
        <f aca="true" t="shared" si="29" ref="C139:H139">SUM(C140:C145)</f>
        <v>0</v>
      </c>
      <c r="D139" s="435">
        <f t="shared" si="29"/>
        <v>0</v>
      </c>
      <c r="E139" s="435">
        <f t="shared" si="29"/>
        <v>0</v>
      </c>
      <c r="F139" s="435">
        <f t="shared" si="29"/>
        <v>0</v>
      </c>
      <c r="G139" s="435">
        <f t="shared" si="29"/>
        <v>0</v>
      </c>
      <c r="H139" s="435">
        <f t="shared" si="29"/>
        <v>0</v>
      </c>
    </row>
    <row r="140" spans="1:8" ht="9.75" hidden="1">
      <c r="A140" s="433">
        <f aca="true" t="shared" si="30" ref="A140:A145">A103</f>
        <v>2017</v>
      </c>
      <c r="B140" s="434"/>
      <c r="C140" s="435">
        <f>+IF(C$24&lt;0,0,C$24*$B$146)/12*C75</f>
        <v>0</v>
      </c>
      <c r="D140" s="477">
        <f>+IF(C24=0,0,+IF(ROUNDUP(SUM($C140:C140),0)&lt;$C$24,$C$24*$B$139,0))</f>
        <v>0</v>
      </c>
      <c r="E140" s="435">
        <f>+IF(D140=0,0,+IF(ROUNDUP(SUM($C140:D140),0)&lt;$C$24,$C$24*B139,0))</f>
        <v>0</v>
      </c>
      <c r="F140" s="441">
        <f>+IF(E140=0,0,+IF(ROUNDUP(SUM($C140:E140),0)&lt;$C24,MIN(($C24-SUM($C140:E140)),+$C24*$B$139),0))</f>
        <v>0</v>
      </c>
      <c r="G140" s="435">
        <f>+IF(F140=0,0,+IF(ROUNDUP(SUM($C140:F140),0)&lt;$C24,MIN(($C24-SUM($C140:F140)),+$C24*$B$139),0))</f>
        <v>0</v>
      </c>
      <c r="H140" s="435">
        <f>+IF(G140=0,0,+IF(ROUNDUP(SUM($C140:G140),0)&lt;$C24,MIN(($C24-SUM($C140:G140)),+$C24*$B$139),0))</f>
        <v>0</v>
      </c>
    </row>
    <row r="141" spans="1:8" ht="9.75" hidden="1">
      <c r="A141" s="433">
        <f t="shared" si="30"/>
        <v>2018</v>
      </c>
      <c r="B141" s="434"/>
      <c r="C141" s="435">
        <f>+IF(C$25&lt;0,0,C$25*$B$146)/12*C69</f>
        <v>0</v>
      </c>
      <c r="D141" s="435">
        <f>+IF(D$24&lt;0,0,D$24*$B$139)</f>
        <v>0</v>
      </c>
      <c r="E141" s="435">
        <f>+IF(D141=0,0,+IF(ROUNDUP(SUM($D141:D141),0)&lt;$D$24,$D$24*$B$139,0))</f>
        <v>0</v>
      </c>
      <c r="F141" s="435">
        <f>+IF(E141=0,0,+IF(ROUNDUP(SUM($D141:E141),0)&lt;$D$24,$D$24*$B$139,0))</f>
        <v>0</v>
      </c>
      <c r="G141" s="435">
        <f>+IF(F141=0,0,+IF(ROUNDUP(SUM($D141:F141),0)&lt;$D$24,$D$24*$B$139,0))</f>
        <v>0</v>
      </c>
      <c r="H141" s="435">
        <f>+IF(G141=0,0,+IF(ROUNDUP(SUM($D141:G141),0)&lt;$D$24,$D$24*$B$139,0))</f>
        <v>0</v>
      </c>
    </row>
    <row r="142" spans="1:8" ht="9.75" hidden="1">
      <c r="A142" s="433">
        <f t="shared" si="30"/>
        <v>2019</v>
      </c>
      <c r="B142" s="434"/>
      <c r="C142" s="435"/>
      <c r="D142" s="435"/>
      <c r="E142" s="435">
        <f>+IF(E$24&lt;0,0,E$24*$B$139)</f>
        <v>0</v>
      </c>
      <c r="F142" s="435">
        <f>+IF(E142=0,0,+IF(ROUNDUP(SUM($E142:E142),0)&lt;$E$24,$E$24*$B$139,0))</f>
        <v>0</v>
      </c>
      <c r="G142" s="435">
        <f>+IF(F142=0,0,+IF(ROUNDUP(SUM($E142:F142),0)&lt;$E$24,$E$24*$B$139,0))</f>
        <v>0</v>
      </c>
      <c r="H142" s="435">
        <f>+IF(G142=0,0,+IF(ROUNDUP(SUM($E142:G142),0)&lt;$E$24,$E$24*$B$139,0))</f>
        <v>0</v>
      </c>
    </row>
    <row r="143" spans="1:8" ht="9.75" hidden="1">
      <c r="A143" s="433">
        <f t="shared" si="30"/>
        <v>2020</v>
      </c>
      <c r="B143" s="434"/>
      <c r="C143" s="435"/>
      <c r="D143" s="435"/>
      <c r="E143" s="435"/>
      <c r="F143" s="435">
        <f>+IF(F$24&lt;0,0,F$24*$B$139)</f>
        <v>0</v>
      </c>
      <c r="G143" s="435">
        <f>+IF(F143=0,0,+IF(ROUNDUP(SUM($F143:F143),0)&lt;$F$24,$F$24*$B$139,0))</f>
        <v>0</v>
      </c>
      <c r="H143" s="435">
        <f>+IF(G143=0,0,+IF(ROUNDUP(SUM($F143:G143),0)&lt;$F$24,$F$24*$B$139,0))</f>
        <v>0</v>
      </c>
    </row>
    <row r="144" spans="1:8" ht="9.75" hidden="1">
      <c r="A144" s="433">
        <f t="shared" si="30"/>
        <v>2021</v>
      </c>
      <c r="B144" s="434"/>
      <c r="C144" s="435"/>
      <c r="D144" s="435"/>
      <c r="E144" s="435"/>
      <c r="F144" s="435"/>
      <c r="G144" s="435">
        <f>+IF(G$24&lt;0,0,G$24*$B$139)</f>
        <v>0</v>
      </c>
      <c r="H144" s="435">
        <f>+IF(G144=0,0,+IF(ROUNDUP(SUM($G144:G144),0)&lt;$G$24,$G$24*$B$139,0))</f>
        <v>0</v>
      </c>
    </row>
    <row r="145" spans="1:8" ht="9.75" hidden="1">
      <c r="A145" s="433">
        <f t="shared" si="30"/>
        <v>2022</v>
      </c>
      <c r="B145" s="434"/>
      <c r="C145" s="435"/>
      <c r="D145" s="435"/>
      <c r="E145" s="435"/>
      <c r="F145" s="435"/>
      <c r="G145" s="435"/>
      <c r="H145" s="435">
        <f>+IF(H$24&lt;0,0,H$24*$B$139)</f>
        <v>0</v>
      </c>
    </row>
    <row r="146" spans="1:8" ht="9.75" hidden="1">
      <c r="A146" s="436" t="s">
        <v>322</v>
      </c>
      <c r="B146" s="434">
        <f>+C71</f>
        <v>0.3333333333333333</v>
      </c>
      <c r="C146" s="435">
        <f aca="true" t="shared" si="31" ref="C146:H146">SUM(C147:C152)</f>
        <v>0</v>
      </c>
      <c r="D146" s="435">
        <f t="shared" si="31"/>
        <v>0</v>
      </c>
      <c r="E146" s="435">
        <f t="shared" si="31"/>
        <v>0</v>
      </c>
      <c r="F146" s="435">
        <f t="shared" si="31"/>
        <v>0</v>
      </c>
      <c r="G146" s="435">
        <f t="shared" si="31"/>
        <v>0</v>
      </c>
      <c r="H146" s="435">
        <f t="shared" si="31"/>
        <v>0</v>
      </c>
    </row>
    <row r="147" spans="1:8" ht="9.75" hidden="1">
      <c r="A147" s="433">
        <f aca="true" t="shared" si="32" ref="A147:A152">A140</f>
        <v>2017</v>
      </c>
      <c r="B147" s="434"/>
      <c r="C147" s="435">
        <f>+IF(C$25&lt;0,0,C$25*$B$146)/12*C75</f>
        <v>0</v>
      </c>
      <c r="D147" s="435">
        <f>+IF(C25=0,0,+IF(ROUNDUP(SUM($C147:C147),0)&lt;$C$25,$C$25*$B$146-B147,0))</f>
        <v>0</v>
      </c>
      <c r="E147" s="435">
        <f>+IF(D147=0,0,+IF(ROUNDUP(SUM($C147:D147),0)&lt;$C$25,$C$25*$B$146,0))</f>
        <v>0</v>
      </c>
      <c r="F147" s="441">
        <f>+IF(E147=0,0,+IF(ROUNDUP(SUM($C147:E147),0)&lt;$C25,MIN(($C25-SUM($C147:E147)),+$C25*$B$146),0))</f>
        <v>0</v>
      </c>
      <c r="G147" s="435">
        <f>+IF(F147=0,0,+IF(ROUNDUP(SUM($C147:F147),0)&lt;$C25,MIN(($C25-SUM($C147:F147)),+$C25*$B$146),0))</f>
        <v>0</v>
      </c>
      <c r="H147" s="435">
        <f>+IF(G147=0,0,+IF(ROUNDUP(SUM($C147:G147),0)&lt;$C25,MIN(($C25-SUM($C147:G147)),+$C25*$B$146),0))</f>
        <v>0</v>
      </c>
    </row>
    <row r="148" spans="1:8" ht="9.75" hidden="1">
      <c r="A148" s="433">
        <f t="shared" si="32"/>
        <v>2018</v>
      </c>
      <c r="B148" s="434"/>
      <c r="C148" s="435">
        <f>+IF(C$25&lt;0,0,C$25*$B$146)/12*C76</f>
        <v>0</v>
      </c>
      <c r="D148" s="435">
        <f>+IF(D$25&lt;0,0,D$25*$B$146)</f>
        <v>0</v>
      </c>
      <c r="E148" s="435">
        <f>+IF(D148=0,0,+IF(ROUNDUP(SUM($D148:D148),0)&lt;$D$25,$D$25*$B$146,0))</f>
        <v>0</v>
      </c>
      <c r="F148" s="435">
        <f>+IF(E148=0,0,+IF(ROUNDUP(SUM($D148:E148),0)&lt;$D$25,$D$25*$B$146,0))</f>
        <v>0</v>
      </c>
      <c r="G148" s="435">
        <f>+IF(F148=0,0,+IF(ROUNDUP(SUM($D148:F148),0)&lt;$D$25,$D$25*$B$146,0))</f>
        <v>0</v>
      </c>
      <c r="H148" s="435">
        <f>+IF(G148=0,0,+IF(ROUNDUP(SUM($D148:G148),0)&lt;$D$25,$D$25*$B$146,0))</f>
        <v>0</v>
      </c>
    </row>
    <row r="149" spans="1:8" ht="9.75" hidden="1">
      <c r="A149" s="433">
        <f t="shared" si="32"/>
        <v>2019</v>
      </c>
      <c r="B149" s="434"/>
      <c r="C149" s="435"/>
      <c r="D149" s="435"/>
      <c r="E149" s="435">
        <f>+IF(E$25&lt;0,0,E$25*$B$146)</f>
        <v>0</v>
      </c>
      <c r="F149" s="435">
        <f>+IF(E149=0,0,+IF(ROUNDUP(SUM($E149:E149),0)&lt;$E$25,$E$25*$B$146,0))</f>
        <v>0</v>
      </c>
      <c r="G149" s="435">
        <f>+IF(F149=0,0,+IF(ROUNDUP(SUM($E149:F149),0)&lt;$E$25,$E$25*$B$146,0))</f>
        <v>0</v>
      </c>
      <c r="H149" s="435">
        <f>+IF(G149=0,0,+IF(ROUNDUP(SUM($E149:G149),0)&lt;$E$25,$E$25*$B$146,0))</f>
        <v>0</v>
      </c>
    </row>
    <row r="150" spans="1:8" ht="9.75" hidden="1">
      <c r="A150" s="433">
        <f t="shared" si="32"/>
        <v>2020</v>
      </c>
      <c r="B150" s="434"/>
      <c r="C150" s="435"/>
      <c r="D150" s="435"/>
      <c r="E150" s="435"/>
      <c r="F150" s="435">
        <f>+IF(F$25&lt;0,0,F$25*$B$146)</f>
        <v>0</v>
      </c>
      <c r="G150" s="435">
        <f>+IF(F150=0,0,+IF(ROUNDUP(SUM($F150:F150),0)&lt;$F$25,$F$25*$B$146,0))</f>
        <v>0</v>
      </c>
      <c r="H150" s="435">
        <f>+IF(G150=0,0,+IF(ROUNDUP(SUM($F150:G150),0)&lt;$F$25,$F$25*$B$146,0))</f>
        <v>0</v>
      </c>
    </row>
    <row r="151" spans="1:8" ht="9.75" hidden="1">
      <c r="A151" s="433">
        <f t="shared" si="32"/>
        <v>2021</v>
      </c>
      <c r="B151" s="434"/>
      <c r="C151" s="435"/>
      <c r="D151" s="435"/>
      <c r="E151" s="435"/>
      <c r="F151" s="435"/>
      <c r="G151" s="435">
        <f>+IF(G$25&lt;0,0,G$25*$B$146)</f>
        <v>0</v>
      </c>
      <c r="H151" s="435">
        <f>+IF(G151=0,0,+IF(ROUNDUP(SUM($G151:G151),0)&lt;$G$25,$G$25*$B$146,0))</f>
        <v>0</v>
      </c>
    </row>
    <row r="152" spans="1:8" ht="9.75" hidden="1">
      <c r="A152" s="433">
        <f t="shared" si="32"/>
        <v>2022</v>
      </c>
      <c r="B152" s="434"/>
      <c r="C152" s="435"/>
      <c r="D152" s="435"/>
      <c r="E152" s="435"/>
      <c r="F152" s="435"/>
      <c r="G152" s="435"/>
      <c r="H152" s="435">
        <f>+IF(H$25&lt;0,0,H$25*$B$146)</f>
        <v>0</v>
      </c>
    </row>
    <row r="153" spans="1:8" ht="9.75" hidden="1">
      <c r="A153" s="436" t="s">
        <v>323</v>
      </c>
      <c r="B153" s="434">
        <f>+C72</f>
        <v>0.2</v>
      </c>
      <c r="C153" s="435">
        <f aca="true" t="shared" si="33" ref="C153:H153">SUM(C154:C159)</f>
        <v>0</v>
      </c>
      <c r="D153" s="435">
        <f t="shared" si="33"/>
        <v>0</v>
      </c>
      <c r="E153" s="435">
        <f t="shared" si="33"/>
        <v>0</v>
      </c>
      <c r="F153" s="435">
        <f t="shared" si="33"/>
        <v>0</v>
      </c>
      <c r="G153" s="435">
        <f t="shared" si="33"/>
        <v>0</v>
      </c>
      <c r="H153" s="435">
        <f t="shared" si="33"/>
        <v>0</v>
      </c>
    </row>
    <row r="154" spans="1:8" ht="9.75" hidden="1">
      <c r="A154" s="433">
        <f aca="true" t="shared" si="34" ref="A154:A166">A147</f>
        <v>2017</v>
      </c>
      <c r="B154" s="434"/>
      <c r="C154" s="435">
        <f>+IF(C$26&lt;0,0,C$26*$B$153)/12*C75</f>
        <v>0</v>
      </c>
      <c r="D154" s="477">
        <f>+IF(C26=0,0,+IF(ROUNDUP(SUM($C154:C154),0)&lt;$C$26,$C$26*$B$153,0))</f>
        <v>0</v>
      </c>
      <c r="E154" s="435">
        <f>+IF(D154=0,0,+IF(ROUNDUP(SUM($C154:D154),0)&lt;$C$26,$C$26*$B$153,0))</f>
        <v>0</v>
      </c>
      <c r="F154" s="441">
        <f>+IF(E154=0,0,+IF(ROUNDUP(SUM($C154:E154),0)&lt;$C26,MIN(($C26-SUM($C154:E154)),+$C26*$B$153),0))</f>
        <v>0</v>
      </c>
      <c r="G154" s="435">
        <f>+IF(F154=0,0,+IF(ROUNDUP(SUM($C154:F154),0)&lt;$C26,MIN(($C26-SUM($C154:F154)),+$C26*$B$153),0))</f>
        <v>0</v>
      </c>
      <c r="H154" s="435">
        <f>+IF(G154=0,0,+IF(ROUNDUP(SUM($C154:G154),0)&lt;$C26,MIN(($C26-SUM($C154:G154)),+$C26*$B$153),0))</f>
        <v>0</v>
      </c>
    </row>
    <row r="155" spans="1:8" ht="9.75" hidden="1">
      <c r="A155" s="433">
        <f t="shared" si="34"/>
        <v>2018</v>
      </c>
      <c r="B155" s="434"/>
      <c r="C155" s="435"/>
      <c r="D155" s="435">
        <f>+IF(D$26&lt;0,0,D$26*$B$153)</f>
        <v>0</v>
      </c>
      <c r="E155" s="435">
        <f>+IF(D155=0,0,+IF(ROUNDUP(SUM($D155:D155),0)&lt;$D$26,$D$26*$B$153,0))</f>
        <v>0</v>
      </c>
      <c r="F155" s="435">
        <f>+IF(E155=0,0,+IF(ROUNDUP(SUM($D155:E155),0)&lt;$D$26,$D$26*$B$153,0))</f>
        <v>0</v>
      </c>
      <c r="G155" s="435">
        <f>+IF(F155=0,0,+IF(ROUNDUP(SUM($D155:F155),0)&lt;$D$26,$D$26*$B$153,0))</f>
        <v>0</v>
      </c>
      <c r="H155" s="435">
        <f>+IF(G155=0,0,+IF(ROUNDUP(SUM($D155:G155),0)&lt;$D$26,$D$26*$B$153,0))</f>
        <v>0</v>
      </c>
    </row>
    <row r="156" spans="1:8" ht="9.75" hidden="1">
      <c r="A156" s="433">
        <f t="shared" si="34"/>
        <v>2019</v>
      </c>
      <c r="B156" s="434"/>
      <c r="C156" s="435"/>
      <c r="D156" s="435"/>
      <c r="E156" s="435">
        <f>+IF(E$26&lt;0,0,E$26*$B$153)</f>
        <v>0</v>
      </c>
      <c r="F156" s="435">
        <f>+IF(E156=0,0,+IF(ROUNDUP(SUM($E156:E156),0)&lt;$E$26,$E$26*$B$153,0))</f>
        <v>0</v>
      </c>
      <c r="G156" s="435">
        <f>+IF(F156=0,0,+IF(ROUNDUP(SUM($E156:F156),0)&lt;$E$26,$E$26*$B$153,0))</f>
        <v>0</v>
      </c>
      <c r="H156" s="435">
        <f>+IF(G156=0,0,+IF(ROUNDUP(SUM($E156:G156),0)&lt;$E$26,$E$26*$B$153,0))</f>
        <v>0</v>
      </c>
    </row>
    <row r="157" spans="1:8" ht="9.75" hidden="1">
      <c r="A157" s="433">
        <f t="shared" si="34"/>
        <v>2020</v>
      </c>
      <c r="B157" s="434"/>
      <c r="C157" s="435"/>
      <c r="D157" s="435"/>
      <c r="E157" s="435"/>
      <c r="F157" s="435">
        <f>+IF(F$26&lt;0,0,F$26*$B$153)</f>
        <v>0</v>
      </c>
      <c r="G157" s="435">
        <f>+IF(F157=0,0,+IF(ROUNDUP(SUM($F157:F157),0)&lt;$F$26,$F$26*$B$153,0))</f>
        <v>0</v>
      </c>
      <c r="H157" s="435">
        <f>+IF(G157=0,0,+IF(ROUNDUP(SUM($F157:G157),0)&lt;$F$26,$F$26*$B$153,0))</f>
        <v>0</v>
      </c>
    </row>
    <row r="158" spans="1:8" ht="9.75" hidden="1">
      <c r="A158" s="433">
        <f t="shared" si="34"/>
        <v>2021</v>
      </c>
      <c r="B158" s="434"/>
      <c r="C158" s="435"/>
      <c r="D158" s="435"/>
      <c r="E158" s="435"/>
      <c r="F158" s="435"/>
      <c r="G158" s="435">
        <f>+IF(G$26&lt;0,0,G$26*$B$153)</f>
        <v>0</v>
      </c>
      <c r="H158" s="435">
        <f>+IF(G158=0,0,+IF(ROUNDUP(SUM($G158:G158),0)&lt;$G$26,$G$26*$B$153,0))</f>
        <v>0</v>
      </c>
    </row>
    <row r="159" spans="1:8" ht="9.75" hidden="1">
      <c r="A159" s="433">
        <f t="shared" si="34"/>
        <v>2022</v>
      </c>
      <c r="B159" s="434"/>
      <c r="C159" s="435"/>
      <c r="D159" s="435"/>
      <c r="E159" s="435"/>
      <c r="F159" s="435"/>
      <c r="G159" s="435"/>
      <c r="H159" s="435">
        <f>+IF(H$26&lt;0,0,H$26*$B$153)</f>
        <v>0</v>
      </c>
    </row>
    <row r="160" spans="1:8" ht="9.75" hidden="1">
      <c r="A160" s="436" t="s">
        <v>324</v>
      </c>
      <c r="B160" s="434">
        <f>+C73</f>
        <v>0.3333333333333333</v>
      </c>
      <c r="C160" s="435">
        <f aca="true" t="shared" si="35" ref="C160:H160">SUM(C161:C166)</f>
        <v>0</v>
      </c>
      <c r="D160" s="435">
        <f t="shared" si="35"/>
        <v>0</v>
      </c>
      <c r="E160" s="435">
        <f t="shared" si="35"/>
        <v>0</v>
      </c>
      <c r="F160" s="435">
        <f t="shared" si="35"/>
        <v>0</v>
      </c>
      <c r="G160" s="435">
        <f t="shared" si="35"/>
        <v>0</v>
      </c>
      <c r="H160" s="435">
        <f t="shared" si="35"/>
        <v>0</v>
      </c>
    </row>
    <row r="161" spans="1:8" ht="9.75" hidden="1">
      <c r="A161" s="433">
        <f t="shared" si="34"/>
        <v>2017</v>
      </c>
      <c r="B161" s="434"/>
      <c r="C161" s="435">
        <f>+IF(C$27&lt;0,0,C$27*$B$160)/12*$C$75</f>
        <v>0</v>
      </c>
      <c r="D161" s="477">
        <f>+IF(C27=0,0,+IF(ROUNDUP(SUM($C161:C161),0)&lt;$C$27,$C$27*$B$160,0))</f>
        <v>0</v>
      </c>
      <c r="E161" s="435">
        <f>+IF(D161=0,0,+IF(ROUNDUP(SUM($C161:D161),0)&lt;$C$27,$C$27*$B$160,0))</f>
        <v>0</v>
      </c>
      <c r="F161" s="441">
        <f>+IF(E161=0,0,+IF(ROUNDUP(SUM($C161:E161),0)&lt;$C27,MIN(($C27-SUM($C161:E161)),+$C27*$B$160),0))</f>
        <v>0</v>
      </c>
      <c r="G161" s="435">
        <f>+IF(F161=0,0,+IF(ROUNDUP(SUM($C161:F161),0)&lt;$C27,MIN(($C27-SUM($C161:F161)),+$C27*$B$160),0))</f>
        <v>0</v>
      </c>
      <c r="H161" s="435">
        <f>+IF(G161=0,0,+IF(ROUNDUP(SUM($C161:G161),0)&lt;$C27,MIN(($C27-SUM($C161:G161)),+$C27*$B$160),0))</f>
        <v>0</v>
      </c>
    </row>
    <row r="162" spans="1:8" ht="9.75" hidden="1">
      <c r="A162" s="433">
        <f t="shared" si="34"/>
        <v>2018</v>
      </c>
      <c r="B162" s="434"/>
      <c r="C162" s="435"/>
      <c r="D162" s="435">
        <f>+IF(D$27&lt;0,0,D$27*$B$160)</f>
        <v>0</v>
      </c>
      <c r="E162" s="435">
        <f>+IF(D162=0,0,+IF(ROUNDUP(SUM($D162:D162),0)&lt;$D$27,$D$27*$B$160,0))</f>
        <v>0</v>
      </c>
      <c r="F162" s="435">
        <f>+IF(E162=0,0,+IF(ROUNDUP(SUM($D162:E162),0)&lt;$D$27,$D$27*$B$160,0))</f>
        <v>0</v>
      </c>
      <c r="G162" s="435">
        <f>+IF(F162=0,0,+IF(ROUNDUP(SUM($D162:F162),0)&lt;$D$27,$D$27*$B$160,0))</f>
        <v>0</v>
      </c>
      <c r="H162" s="435">
        <f>+IF(G162=0,0,+IF(ROUNDUP(SUM($D162:G162),0)&lt;$D$27,$D$27*$B$160,0))</f>
        <v>0</v>
      </c>
    </row>
    <row r="163" spans="1:8" ht="9.75" hidden="1">
      <c r="A163" s="433">
        <f t="shared" si="34"/>
        <v>2019</v>
      </c>
      <c r="B163" s="434"/>
      <c r="C163" s="435"/>
      <c r="D163" s="435"/>
      <c r="E163" s="435">
        <f>+IF(E$27&lt;0,0,E$27*$B$160)</f>
        <v>0</v>
      </c>
      <c r="F163" s="435">
        <f>+IF(E163=0,0,+IF(ROUNDUP(SUM($E163:E163),0)&lt;$E$27,$E$27*$B$160,0))</f>
        <v>0</v>
      </c>
      <c r="G163" s="435">
        <f>+IF(F163=0,0,+IF(ROUNDUP(SUM($E163:F163),0)&lt;$E$27,$E$27*$B$160,0))</f>
        <v>0</v>
      </c>
      <c r="H163" s="435">
        <f>+IF(G163=0,0,+IF(ROUNDUP(SUM($E163:G163),0)&lt;$E$27,$E$27*$B$160,0))</f>
        <v>0</v>
      </c>
    </row>
    <row r="164" spans="1:8" ht="9.75" hidden="1">
      <c r="A164" s="433">
        <f t="shared" si="34"/>
        <v>2020</v>
      </c>
      <c r="B164" s="434"/>
      <c r="C164" s="435"/>
      <c r="D164" s="435"/>
      <c r="E164" s="435"/>
      <c r="F164" s="435">
        <f>+IF(F$27&lt;0,0,F$27*$B$160)</f>
        <v>0</v>
      </c>
      <c r="G164" s="435">
        <f>+IF(F164=0,0,+IF(ROUNDUP(SUM($F164:F164),0)&lt;$F$27,$F$27*$B$160,0))</f>
        <v>0</v>
      </c>
      <c r="H164" s="435">
        <f>+IF(G164=0,0,+IF(ROUNDUP(SUM($F164:G164),0)&lt;$F$27,$F$27*$B$160,0))</f>
        <v>0</v>
      </c>
    </row>
    <row r="165" spans="1:8" ht="9.75" hidden="1">
      <c r="A165" s="433">
        <f t="shared" si="34"/>
        <v>2021</v>
      </c>
      <c r="B165" s="434"/>
      <c r="C165" s="435"/>
      <c r="D165" s="435"/>
      <c r="E165" s="435"/>
      <c r="F165" s="435"/>
      <c r="G165" s="435">
        <f>+IF(G$27&lt;0,0,G$27*$B$160)</f>
        <v>0</v>
      </c>
      <c r="H165" s="435">
        <f>+IF(G165=0,0,+IF(ROUNDUP(SUM($G165:G165),0)&lt;$G$27,$G$27*$B$160,0))</f>
        <v>0</v>
      </c>
    </row>
    <row r="166" spans="1:8" ht="9.75" hidden="1">
      <c r="A166" s="433">
        <f t="shared" si="34"/>
        <v>2022</v>
      </c>
      <c r="B166" s="434"/>
      <c r="C166" s="435"/>
      <c r="D166" s="435"/>
      <c r="E166" s="435"/>
      <c r="F166" s="435"/>
      <c r="G166" s="435"/>
      <c r="H166" s="435">
        <f>+IF(H$27&lt;0,0,H$27*$B$160)</f>
        <v>0</v>
      </c>
    </row>
    <row r="167" spans="1:8" ht="9.75" hidden="1">
      <c r="A167" s="546" t="s">
        <v>46</v>
      </c>
      <c r="B167" s="547"/>
      <c r="C167" s="432">
        <f aca="true" t="shared" si="36" ref="C167:H167">+C139+C146+C153+C160</f>
        <v>0</v>
      </c>
      <c r="D167" s="432">
        <f t="shared" si="36"/>
        <v>0</v>
      </c>
      <c r="E167" s="432">
        <f t="shared" si="36"/>
        <v>0</v>
      </c>
      <c r="F167" s="432">
        <f t="shared" si="36"/>
        <v>0</v>
      </c>
      <c r="G167" s="432">
        <f t="shared" si="36"/>
        <v>0</v>
      </c>
      <c r="H167" s="432">
        <f t="shared" si="36"/>
        <v>0</v>
      </c>
    </row>
    <row r="168" spans="1:8" ht="9.75">
      <c r="A168" s="548" t="s">
        <v>362</v>
      </c>
      <c r="B168" s="549"/>
      <c r="C168" s="339">
        <f aca="true" t="shared" si="37" ref="C168:H168">+C93+C137+C167</f>
        <v>20000</v>
      </c>
      <c r="D168" s="339">
        <f t="shared" si="37"/>
        <v>20000</v>
      </c>
      <c r="E168" s="339">
        <f t="shared" si="37"/>
        <v>20000</v>
      </c>
      <c r="F168" s="339">
        <f t="shared" si="37"/>
        <v>20000</v>
      </c>
      <c r="G168" s="339">
        <f t="shared" si="37"/>
        <v>0</v>
      </c>
      <c r="H168" s="339">
        <f t="shared" si="37"/>
        <v>0</v>
      </c>
    </row>
    <row r="169" spans="1:8" ht="9.75">
      <c r="A169" s="183"/>
      <c r="B169" s="183"/>
      <c r="C169" s="342"/>
      <c r="D169" s="342"/>
      <c r="E169" s="342"/>
      <c r="F169" s="342"/>
      <c r="G169" s="342"/>
      <c r="H169" s="342"/>
    </row>
    <row r="170" spans="1:8" ht="9.75">
      <c r="A170" s="183"/>
      <c r="B170" s="183"/>
      <c r="C170" s="342"/>
      <c r="D170" s="342"/>
      <c r="E170" s="342"/>
      <c r="F170" s="342"/>
      <c r="G170" s="342"/>
      <c r="H170" s="342"/>
    </row>
    <row r="171" spans="1:8" ht="9.75">
      <c r="A171" s="190" t="s">
        <v>366</v>
      </c>
      <c r="B171" s="191"/>
      <c r="C171" s="176">
        <f>+C7</f>
        <v>2017</v>
      </c>
      <c r="D171" s="176">
        <f>+C171+1</f>
        <v>2018</v>
      </c>
      <c r="E171" s="176">
        <f>+D171+1</f>
        <v>2019</v>
      </c>
      <c r="F171" s="176">
        <f>+E171+1</f>
        <v>2020</v>
      </c>
      <c r="G171" s="176">
        <f>+F171+1</f>
        <v>2021</v>
      </c>
      <c r="H171" s="176">
        <f>+G171+1</f>
        <v>2022</v>
      </c>
    </row>
    <row r="172" spans="1:8" ht="9.75">
      <c r="A172" s="341" t="s">
        <v>257</v>
      </c>
      <c r="B172" s="178"/>
      <c r="C172" s="343">
        <f>+C93</f>
        <v>0</v>
      </c>
      <c r="D172" s="343">
        <f>+SUM(C93:D93)</f>
        <v>0</v>
      </c>
      <c r="E172" s="343">
        <f>+SUM(C93:E93)</f>
        <v>0</v>
      </c>
      <c r="F172" s="343">
        <f>+SUM(C93:F93)</f>
        <v>0</v>
      </c>
      <c r="G172" s="343">
        <f>+SUM(C93:G93)</f>
        <v>0</v>
      </c>
      <c r="H172" s="343">
        <f>+SUM(C93:H93)</f>
        <v>0</v>
      </c>
    </row>
    <row r="173" spans="1:8" ht="9.75">
      <c r="A173" s="341" t="s">
        <v>262</v>
      </c>
      <c r="B173" s="178"/>
      <c r="C173" s="343">
        <f>+C137</f>
        <v>20000</v>
      </c>
      <c r="D173" s="343">
        <f>+SUM(C137:D137)</f>
        <v>40000</v>
      </c>
      <c r="E173" s="343">
        <f>+SUM(C137:E137)</f>
        <v>60000</v>
      </c>
      <c r="F173" s="343">
        <f>+SUM(C137:F137)</f>
        <v>80000</v>
      </c>
      <c r="G173" s="343">
        <f>+SUM(C137:G137)</f>
        <v>80000</v>
      </c>
      <c r="H173" s="343">
        <f>+SUM(C137:H137)</f>
        <v>80000</v>
      </c>
    </row>
    <row r="174" spans="1:8" ht="9.75">
      <c r="A174" s="340" t="s">
        <v>311</v>
      </c>
      <c r="B174" s="178"/>
      <c r="C174" s="338">
        <f>+C167</f>
        <v>0</v>
      </c>
      <c r="D174" s="338">
        <f>+SUM(C167:D167)</f>
        <v>0</v>
      </c>
      <c r="E174" s="338">
        <f>+SUM(C167:E167)</f>
        <v>0</v>
      </c>
      <c r="F174" s="338">
        <f>+SUM(C167:F167)</f>
        <v>0</v>
      </c>
      <c r="G174" s="338">
        <f>+SUM(C167:G167)</f>
        <v>0</v>
      </c>
      <c r="H174" s="338">
        <f>+SUM(C167:H167)</f>
        <v>0</v>
      </c>
    </row>
    <row r="175" spans="1:8" ht="9.75">
      <c r="A175" s="548" t="s">
        <v>46</v>
      </c>
      <c r="B175" s="549"/>
      <c r="C175" s="181">
        <f aca="true" t="shared" si="38" ref="C175:H175">+C172+C173+C174</f>
        <v>20000</v>
      </c>
      <c r="D175" s="181">
        <f t="shared" si="38"/>
        <v>40000</v>
      </c>
      <c r="E175" s="181">
        <f t="shared" si="38"/>
        <v>60000</v>
      </c>
      <c r="F175" s="181">
        <f t="shared" si="38"/>
        <v>80000</v>
      </c>
      <c r="G175" s="181">
        <f t="shared" si="38"/>
        <v>80000</v>
      </c>
      <c r="H175" s="181">
        <f t="shared" si="38"/>
        <v>80000</v>
      </c>
    </row>
    <row r="176" spans="1:8" ht="9.75">
      <c r="A176" s="183"/>
      <c r="B176" s="183"/>
      <c r="C176" s="342"/>
      <c r="D176" s="342"/>
      <c r="E176" s="342"/>
      <c r="F176" s="342"/>
      <c r="G176" s="342"/>
      <c r="H176" s="342"/>
    </row>
    <row r="177" spans="1:8" ht="9.75">
      <c r="A177" s="183"/>
      <c r="B177" s="183"/>
      <c r="C177" s="342"/>
      <c r="D177" s="342"/>
      <c r="E177" s="342"/>
      <c r="F177" s="342"/>
      <c r="G177" s="342"/>
      <c r="H177" s="342"/>
    </row>
    <row r="178" spans="1:8" ht="9.75">
      <c r="A178" s="190" t="s">
        <v>365</v>
      </c>
      <c r="B178" s="191"/>
      <c r="C178" s="176">
        <f>+C7</f>
        <v>2017</v>
      </c>
      <c r="D178" s="176">
        <f>+C178+1</f>
        <v>2018</v>
      </c>
      <c r="E178" s="176">
        <f>+D178+1</f>
        <v>2019</v>
      </c>
      <c r="F178" s="176">
        <f>+E178+1</f>
        <v>2020</v>
      </c>
      <c r="G178" s="176">
        <f>+F178+1</f>
        <v>2021</v>
      </c>
      <c r="H178" s="176">
        <f>+G178+1</f>
        <v>2022</v>
      </c>
    </row>
    <row r="179" spans="1:8" ht="9.75">
      <c r="A179" s="341" t="s">
        <v>257</v>
      </c>
      <c r="B179" s="178"/>
      <c r="C179" s="343">
        <f aca="true" t="shared" si="39" ref="C179:H179">+C38-C172</f>
        <v>0</v>
      </c>
      <c r="D179" s="343">
        <f t="shared" si="39"/>
        <v>0</v>
      </c>
      <c r="E179" s="343">
        <f t="shared" si="39"/>
        <v>0</v>
      </c>
      <c r="F179" s="343">
        <f t="shared" si="39"/>
        <v>0</v>
      </c>
      <c r="G179" s="343">
        <f t="shared" si="39"/>
        <v>0</v>
      </c>
      <c r="H179" s="343">
        <f t="shared" si="39"/>
        <v>0</v>
      </c>
    </row>
    <row r="180" spans="1:8" ht="9.75">
      <c r="A180" s="341" t="s">
        <v>262</v>
      </c>
      <c r="B180" s="178"/>
      <c r="C180" s="343">
        <f aca="true" t="shared" si="40" ref="C180:H180">+C47-C173</f>
        <v>60000</v>
      </c>
      <c r="D180" s="343">
        <f t="shared" si="40"/>
        <v>40000</v>
      </c>
      <c r="E180" s="343">
        <f t="shared" si="40"/>
        <v>20000</v>
      </c>
      <c r="F180" s="343">
        <f t="shared" si="40"/>
        <v>0</v>
      </c>
      <c r="G180" s="343">
        <f t="shared" si="40"/>
        <v>0</v>
      </c>
      <c r="H180" s="343">
        <f t="shared" si="40"/>
        <v>0</v>
      </c>
    </row>
    <row r="181" spans="1:8" ht="9.75">
      <c r="A181" s="340" t="s">
        <v>311</v>
      </c>
      <c r="B181" s="178"/>
      <c r="C181" s="338">
        <f aca="true" t="shared" si="41" ref="C181:H181">+C54-C174</f>
        <v>0</v>
      </c>
      <c r="D181" s="338">
        <f t="shared" si="41"/>
        <v>0</v>
      </c>
      <c r="E181" s="338">
        <f t="shared" si="41"/>
        <v>0</v>
      </c>
      <c r="F181" s="338">
        <f t="shared" si="41"/>
        <v>0</v>
      </c>
      <c r="G181" s="338">
        <f t="shared" si="41"/>
        <v>0</v>
      </c>
      <c r="H181" s="338">
        <f t="shared" si="41"/>
        <v>0</v>
      </c>
    </row>
    <row r="182" spans="1:8" ht="9.75">
      <c r="A182" s="548" t="s">
        <v>46</v>
      </c>
      <c r="B182" s="549"/>
      <c r="C182" s="181">
        <f aca="true" t="shared" si="42" ref="C182:H182">+C179+C180+C181</f>
        <v>60000</v>
      </c>
      <c r="D182" s="181">
        <f t="shared" si="42"/>
        <v>40000</v>
      </c>
      <c r="E182" s="181">
        <f t="shared" si="42"/>
        <v>20000</v>
      </c>
      <c r="F182" s="181">
        <f t="shared" si="42"/>
        <v>0</v>
      </c>
      <c r="G182" s="181">
        <f t="shared" si="42"/>
        <v>0</v>
      </c>
      <c r="H182" s="181">
        <f t="shared" si="42"/>
        <v>0</v>
      </c>
    </row>
  </sheetData>
  <sheetProtection password="8318" sheet="1"/>
  <mergeCells count="18">
    <mergeCell ref="A167:B167"/>
    <mergeCell ref="A182:B182"/>
    <mergeCell ref="A175:B175"/>
    <mergeCell ref="A168:B168"/>
    <mergeCell ref="A29:B29"/>
    <mergeCell ref="A55:B55"/>
    <mergeCell ref="A137:B137"/>
    <mergeCell ref="A38:B38"/>
    <mergeCell ref="A47:B47"/>
    <mergeCell ref="A54:B54"/>
    <mergeCell ref="A4:H4"/>
    <mergeCell ref="A28:B28"/>
    <mergeCell ref="A21:B21"/>
    <mergeCell ref="A12:B12"/>
    <mergeCell ref="A93:B93"/>
    <mergeCell ref="A7:B7"/>
    <mergeCell ref="A33:B33"/>
    <mergeCell ref="A58:C58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/>
  <headerFooter alignWithMargins="0">
    <oddFooter>&amp;C&amp;"Arial,Normal"&amp;8IAPMEI&amp;R&amp;"Arial,Normal"&amp;8&amp;P</oddFooter>
  </headerFooter>
  <ignoredErrors>
    <ignoredError sqref="C71 C7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 Consulting</dc:creator>
  <cp:keywords/>
  <dc:description/>
  <cp:lastModifiedBy>Luis Mira</cp:lastModifiedBy>
  <cp:lastPrinted>2010-02-23T17:34:21Z</cp:lastPrinted>
  <dcterms:created xsi:type="dcterms:W3CDTF">2004-06-30T10:12:30Z</dcterms:created>
  <dcterms:modified xsi:type="dcterms:W3CDTF">2017-10-31T12:58:25Z</dcterms:modified>
  <cp:category/>
  <cp:version/>
  <cp:contentType/>
  <cp:contentStatus/>
</cp:coreProperties>
</file>